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35" windowWidth="7620" windowHeight="1425" firstSheet="3" activeTab="1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3" sheetId="14" r:id="rId14"/>
  </sheets>
  <calcPr calcId="145621"/>
</workbook>
</file>

<file path=xl/calcChain.xml><?xml version="1.0" encoding="utf-8"?>
<calcChain xmlns="http://schemas.openxmlformats.org/spreadsheetml/2006/main">
  <c r="E11" i="5" l="1"/>
  <c r="E18" i="4"/>
  <c r="E17" i="4"/>
  <c r="E16" i="4"/>
  <c r="E14" i="14" l="1"/>
  <c r="E13" i="14"/>
  <c r="E12" i="14"/>
  <c r="E11" i="14"/>
  <c r="E10" i="14"/>
  <c r="E9" i="14"/>
  <c r="E15" i="14" l="1"/>
  <c r="E15" i="4"/>
  <c r="E13" i="4" l="1"/>
  <c r="C13" i="5" l="1"/>
  <c r="C14" i="5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E14" i="4"/>
  <c r="E12" i="4"/>
  <c r="E11" i="4"/>
  <c r="E10" i="4"/>
  <c r="I11" i="8" l="1"/>
  <c r="K11" i="8"/>
  <c r="I42" i="8"/>
  <c r="K42" i="8"/>
  <c r="H94" i="8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10" i="1"/>
  <c r="J107" i="1"/>
  <c r="J103" i="1"/>
  <c r="J16" i="1"/>
  <c r="J15" i="1"/>
  <c r="J13" i="1"/>
  <c r="J95" i="1"/>
  <c r="J102" i="1"/>
  <c r="J97" i="1"/>
  <c r="J96" i="1"/>
  <c r="J22" i="1"/>
  <c r="J21" i="1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<sst xmlns="http://schemas.openxmlformats.org/spreadsheetml/2006/main" count="954" uniqueCount="459">
  <si>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</si>
  <si>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</si>
  <si>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</si>
  <si>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</si>
  <si>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</si>
  <si>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</si>
  <si>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</si>
  <si>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</si>
  <si>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</si>
  <si>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</si>
  <si>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</si>
  <si>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</si>
  <si>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</si>
  <si>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</si>
  <si>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</si>
  <si>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</si>
  <si>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</si>
  <si>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</si>
  <si>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</si>
  <si>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</si>
  <si>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</si>
  <si>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</si>
  <si>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</si>
  <si>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</si>
  <si>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</si>
  <si>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</si>
  <si>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</si>
  <si>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</si>
  <si>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</si>
  <si>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</si>
  <si>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</si>
  <si>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</si>
  <si>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</si>
  <si>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</si>
  <si>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</si>
  <si>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</si>
  <si>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</si>
  <si>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</si>
  <si>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</si>
  <si>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</si>
  <si>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</si>
  <si>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</si>
  <si>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</si>
  <si>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</si>
  <si>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</si>
  <si>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</si>
  <si>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</si>
  <si>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</si>
  <si>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</si>
  <si>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</si>
  <si>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</si>
  <si>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</si>
  <si>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</si>
  <si>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</si>
  <si>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</si>
  <si>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</si>
  <si>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</si>
  <si>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</si>
  <si>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</si>
  <si>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</si>
  <si>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</si>
  <si>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</si>
  <si>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</si>
  <si>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</si>
  <si>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</si>
  <si>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</si>
  <si>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</si>
  <si>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</si>
  <si>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</si>
  <si>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</si>
  <si>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</si>
  <si>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</si>
  <si>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</si>
  <si>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</si>
  <si>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</si>
  <si>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</si>
  <si>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</si>
  <si>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</si>
  <si>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</si>
  <si>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</si>
  <si>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</si>
  <si>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</si>
  <si>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</si>
  <si>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</si>
  <si>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</si>
  <si>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</si>
  <si>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</si>
  <si>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</si>
  <si>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</si>
  <si>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</si>
  <si>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</si>
  <si>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</si>
  <si>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</si>
  <si>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</si>
  <si>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</si>
  <si>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</si>
  <si>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</si>
  <si>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</si>
  <si>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</si>
  <si>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</si>
  <si>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</si>
  <si>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</si>
  <si>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</si>
  <si>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</si>
  <si>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</si>
  <si>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</si>
  <si>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</si>
  <si>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</si>
  <si>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</si>
  <si>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</si>
  <si>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</si>
  <si>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</si>
  <si>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</si>
  <si>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</si>
  <si>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</si>
  <si>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</si>
  <si>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</si>
  <si>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</si>
  <si>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</si>
  <si>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</si>
  <si>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</si>
  <si>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</si>
  <si>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</si>
  <si>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</si>
  <si>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</si>
  <si>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</si>
  <si>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</si>
  <si>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</si>
  <si>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</si>
  <si>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</si>
  <si>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</si>
  <si>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</si>
  <si>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</si>
  <si>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</si>
  <si>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</si>
  <si>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</si>
  <si>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</si>
  <si>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</si>
  <si>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</si>
  <si>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</si>
  <si>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</si>
  <si>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</si>
  <si>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</si>
  <si>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</si>
  <si>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</si>
  <si>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</si>
  <si>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</si>
  <si>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</si>
  <si>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</si>
  <si>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</si>
  <si>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</si>
  <si>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</si>
  <si>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</si>
  <si>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</si>
  <si>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</si>
  <si>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</si>
  <si>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</si>
  <si>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</si>
  <si>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</si>
  <si>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</si>
  <si>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</si>
  <si>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</si>
  <si>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</si>
  <si>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</si>
  <si>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</si>
  <si>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</si>
  <si>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</si>
  <si>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</si>
  <si>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</si>
  <si>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</si>
  <si>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</si>
  <si>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</si>
  <si>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</si>
  <si>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</si>
  <si>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</si>
  <si>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</si>
  <si>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</si>
  <si>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</si>
  <si>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</si>
  <si>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</si>
  <si>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</si>
  <si>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</si>
  <si>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</si>
  <si>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</si>
  <si>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</si>
  <si>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</si>
  <si>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</si>
  <si>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</si>
  <si>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</si>
  <si>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</si>
  <si>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</si>
  <si>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</si>
  <si>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</si>
  <si>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</si>
  <si>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</si>
  <si>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</si>
  <si>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</si>
  <si>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</si>
  <si>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</si>
  <si>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</si>
  <si>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</si>
  <si>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</si>
  <si>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</si>
  <si>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</si>
  <si>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</si>
  <si>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</si>
  <si>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</si>
  <si>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</si>
  <si>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</si>
  <si>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</si>
  <si>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</si>
  <si>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</si>
  <si>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</si>
  <si>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</si>
  <si>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</si>
  <si>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</si>
  <si>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</si>
  <si>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</si>
  <si>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</si>
  <si>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</si>
  <si>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</si>
  <si>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</si>
  <si>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</si>
  <si>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</si>
  <si>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</si>
  <si>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</si>
  <si>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</si>
  <si>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</si>
  <si>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</si>
  <si>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</si>
  <si>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</si>
  <si>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</si>
  <si>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</si>
  <si>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</si>
  <si>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</si>
  <si>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</si>
  <si>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</si>
  <si>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</si>
  <si>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</si>
  <si>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</si>
  <si>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</si>
  <si>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</si>
  <si>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</si>
  <si>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</si>
  <si>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</si>
  <si>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</si>
  <si>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</si>
  <si>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</si>
  <si>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</si>
  <si>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</si>
  <si>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</si>
  <si>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</si>
  <si>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</si>
  <si>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</si>
  <si>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</si>
  <si>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</si>
  <si>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</si>
  <si>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</si>
  <si>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</si>
  <si>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</si>
  <si>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</si>
  <si>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</si>
  <si>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</si>
  <si>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</si>
  <si>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</si>
  <si>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</si>
  <si>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</si>
  <si>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</si>
  <si>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</si>
  <si>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</si>
  <si>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</si>
  <si>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</si>
  <si>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</si>
  <si>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</si>
  <si>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</si>
  <si>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</si>
  <si>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</si>
  <si>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</si>
  <si>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</si>
  <si>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</si>
  <si>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</si>
  <si>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</si>
  <si>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</si>
  <si>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</si>
  <si>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</si>
  <si>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</si>
  <si>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</si>
  <si>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</si>
  <si>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</si>
  <si>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</si>
  <si>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</si>
  <si>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</si>
  <si>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</si>
  <si>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</si>
  <si>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</si>
  <si>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</si>
  <si>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</si>
  <si>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</si>
  <si>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</si>
  <si>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</si>
  <si>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</si>
  <si>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</si>
  <si>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</si>
  <si>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</si>
  <si>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</si>
  <si>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</si>
  <si>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</si>
  <si>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</si>
  <si>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</si>
  <si>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</si>
  <si>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</si>
  <si>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</si>
  <si>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</si>
  <si>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</si>
  <si>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</si>
  <si>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</si>
  <si>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</si>
  <si>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</si>
  <si>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</si>
  <si>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</si>
  <si>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</si>
  <si>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</si>
  <si>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</si>
  <si>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</si>
  <si>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</si>
  <si>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</si>
  <si>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</si>
  <si>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</si>
  <si>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</si>
  <si>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</si>
  <si>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</si>
  <si>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</si>
  <si>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</si>
  <si>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</si>
  <si>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</si>
  <si>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</si>
  <si>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</si>
  <si>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</si>
  <si>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</si>
  <si>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</si>
  <si>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</si>
  <si>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</si>
  <si>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</si>
  <si>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</si>
  <si>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</si>
  <si>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</si>
  <si>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</si>
  <si>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</si>
  <si>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</si>
  <si>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</si>
  <si>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</si>
  <si>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</si>
  <si>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</si>
  <si>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</si>
  <si>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</si>
  <si>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</si>
  <si>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</si>
  <si>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</si>
  <si>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</si>
  <si>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</si>
  <si>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</si>
  <si>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</si>
  <si>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</si>
  <si>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</si>
  <si>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</si>
  <si>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</si>
  <si>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</si>
  <si>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</si>
  <si>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</si>
  <si>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</si>
  <si>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</si>
  <si>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</si>
  <si>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</si>
  <si>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</si>
  <si>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</si>
  <si>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</si>
  <si>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</si>
  <si>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</si>
  <si>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</si>
  <si>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</si>
  <si>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</si>
  <si>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</si>
  <si>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</si>
  <si>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</si>
  <si>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</si>
  <si>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</si>
  <si>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</si>
  <si>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</si>
  <si>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</si>
  <si>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</si>
  <si>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</si>
  <si>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</si>
  <si>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</si>
  <si>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</si>
  <si>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</si>
  <si>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</si>
  <si>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</si>
  <si>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</si>
  <si>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</si>
  <si>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</si>
  <si>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</si>
  <si>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</si>
  <si>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</si>
  <si>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</si>
  <si>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</si>
  <si>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</si>
  <si>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</si>
  <si>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</si>
  <si>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</si>
  <si>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</si>
  <si>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</si>
  <si>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</si>
  <si>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</si>
  <si>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</si>
  <si>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</si>
  <si>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</si>
  <si>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</si>
  <si>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</si>
  <si>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</si>
  <si>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</si>
  <si>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</si>
  <si>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</si>
  <si>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</si>
  <si>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</si>
  <si>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</si>
  <si>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</si>
  <si>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</si>
  <si>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</si>
  <si>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</si>
  <si>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</si>
  <si>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</si>
  <si>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</si>
  <si>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</si>
  <si>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</si>
  <si>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</si>
  <si>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</si>
  <si>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</si>
  <si>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</si>
  <si>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</si>
  <si>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</si>
  <si>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</si>
  <si>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</si>
  <si>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</si>
  <si>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</si>
  <si>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</si>
  <si>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</si>
  <si>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</si>
  <si>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</si>
  <si>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</si>
  <si>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</si>
  <si>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</si>
  <si>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Приложение № 1 к экспертному заключению по делу № 77-13в</t>
  </si>
  <si>
    <t>муниципального унитарного предприятия Тальской сельской администрации «Коммунальное обслуживание» (Емельяновский  район,  с. Талое, ИНН 24110013056)</t>
  </si>
  <si>
    <t>Приложение № 2 к экспертному заключению по делу № 77-13в</t>
  </si>
  <si>
    <t>Приложение № 4 к экспертному заключению по делу № 77-13в</t>
  </si>
  <si>
    <t>Приложение № 7 к экспертному заключению по делу № 77-13в</t>
  </si>
  <si>
    <t>Тарифы на питьевую воду для потребителей муниципального унитарного предприятия Тальской сельской администрации «Коммунальное обслуживание» (Емельяновский  район,  с. Талое, ИНН 24110013056)</t>
  </si>
  <si>
    <t>Приложение № 3 к экспертному заключению по делу № 77-13в</t>
  </si>
  <si>
    <t>Величина прибыли, необходимой для эффективного функционирования  муниципального унитарного предприятия Тальской сельской администрации «Коммунальное обслуживание» (Емельяновский  район,  с. Талое, ИНН 24110013056)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</si>
</sst>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8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9" t="s">
        <v>140</v>
      </c>
      <c r="K1" s="309"/>
      <c r="L1" s="309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10" t="s">
        <v>437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</row>
    <row r="7" spans="1:24" s="83" customFormat="1" ht="12.95" hidden="1" customHeight="1" outlineLevel="1" x14ac:dyDescent="0.25">
      <c r="A7" s="304" t="s">
        <v>438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</row>
    <row r="8" spans="1:24" s="83" customFormat="1" ht="12.95" hidden="1" customHeight="1" outlineLevel="1" x14ac:dyDescent="0.25">
      <c r="A8" s="304" t="s">
        <v>439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5"/>
      <c r="B10" s="306" t="s">
        <v>1</v>
      </c>
      <c r="C10" s="302" t="s">
        <v>199</v>
      </c>
      <c r="D10" s="302" t="s">
        <v>200</v>
      </c>
      <c r="E10" s="302" t="s">
        <v>201</v>
      </c>
      <c r="F10" s="302" t="s">
        <v>250</v>
      </c>
      <c r="G10" s="302" t="s">
        <v>263</v>
      </c>
      <c r="H10" s="306" t="s">
        <v>202</v>
      </c>
      <c r="I10" s="306" t="s">
        <v>2</v>
      </c>
      <c r="J10" s="306" t="s">
        <v>141</v>
      </c>
      <c r="K10" s="306"/>
      <c r="L10" s="306"/>
      <c r="M10" s="307" t="s">
        <v>143</v>
      </c>
      <c r="N10" s="107"/>
    </row>
    <row r="11" spans="1:24" s="83" customFormat="1" ht="48.6" customHeight="1" x14ac:dyDescent="0.25">
      <c r="A11" s="305"/>
      <c r="B11" s="306"/>
      <c r="C11" s="303"/>
      <c r="D11" s="303"/>
      <c r="E11" s="303"/>
      <c r="F11" s="303"/>
      <c r="G11" s="303"/>
      <c r="H11" s="306"/>
      <c r="I11" s="306"/>
      <c r="J11" s="149" t="s">
        <v>3</v>
      </c>
      <c r="K11" s="149" t="s">
        <v>262</v>
      </c>
      <c r="L11" s="149" t="s">
        <v>4</v>
      </c>
      <c r="M11" s="308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>D14+D15+D33+D38+D41</f>
        <v>368.84052799999995</v>
      </c>
      <c r="E13" s="124">
        <f>E14+E15+E33+E38+E41</f>
        <v>1992.67824</v>
      </c>
      <c r="F13" s="124"/>
      <c r="G13" s="124"/>
      <c r="H13" s="124">
        <f>H14+H15+H33+H38+H41</f>
        <v>3744.7008469400002</v>
      </c>
      <c r="I13" s="124">
        <f>I14+I15+I33+I38+I41</f>
        <v>2384.6659580420005</v>
      </c>
      <c r="J13" s="124">
        <f ca="1">J14+J15+J33+J38+J41</f>
        <v>2439.009443608667</v>
      </c>
      <c r="K13" s="124">
        <f>K14+K15+K33+K38+K41</f>
        <v>1324.4711986320003</v>
      </c>
      <c r="L13" s="124">
        <f>L14+L15+L33+L38+L41</f>
        <v>1060.19475941</v>
      </c>
      <c r="M13" s="82">
        <f>I13/E13*100</f>
        <v>119.6714005389049</v>
      </c>
      <c r="N13" s="125"/>
      <c r="P13" s="286"/>
      <c r="Q13" s="286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0">C16+C27+C28+C29</f>
        <v>22.319771000000003</v>
      </c>
      <c r="D15" s="17">
        <f t="shared" si="0"/>
        <v>93.597728000000004</v>
      </c>
      <c r="E15" s="17">
        <f t="shared" si="0"/>
        <v>138.67000000000002</v>
      </c>
      <c r="F15" s="17"/>
      <c r="G15" s="17"/>
      <c r="H15" s="17">
        <f t="shared" si="0"/>
        <v>960.85080693999998</v>
      </c>
      <c r="I15" s="17">
        <f t="shared" si="0"/>
        <v>186.17080885000001</v>
      </c>
      <c r="J15" s="17">
        <f t="shared" ca="1" si="0"/>
        <v>1059.6200000000001</v>
      </c>
      <c r="K15" s="17">
        <f t="shared" si="0"/>
        <v>103.07034400000001</v>
      </c>
      <c r="L15" s="17">
        <f t="shared" si="0"/>
        <v>83.100464850000009</v>
      </c>
      <c r="M15" s="82">
        <f t="shared" ref="M15:M77" si="1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2">C21+C24</f>
        <v>22.319771000000003</v>
      </c>
      <c r="D16" s="17">
        <f t="shared" si="2"/>
        <v>93.597728000000004</v>
      </c>
      <c r="E16" s="17">
        <f t="shared" si="2"/>
        <v>138.67000000000002</v>
      </c>
      <c r="F16" s="17">
        <v>1.075</v>
      </c>
      <c r="G16" s="17">
        <f>E16*F16</f>
        <v>149.07025000000002</v>
      </c>
      <c r="H16" s="17">
        <f t="shared" si="2"/>
        <v>960.85080693999998</v>
      </c>
      <c r="I16" s="17">
        <f t="shared" si="2"/>
        <v>186.17080885000001</v>
      </c>
      <c r="J16" s="17">
        <f t="shared" ca="1" si="2"/>
        <v>1059.6200000000001</v>
      </c>
      <c r="K16" s="17">
        <f t="shared" si="2"/>
        <v>103.07034400000001</v>
      </c>
      <c r="L16" s="17">
        <f t="shared" si="2"/>
        <v>83.100464850000009</v>
      </c>
      <c r="M16" s="82">
        <f t="shared" si="1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1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1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1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1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>D22*D23</f>
        <v>85.897728000000001</v>
      </c>
      <c r="E21" s="17">
        <v>92.51</v>
      </c>
      <c r="F21" s="17"/>
      <c r="G21" s="17"/>
      <c r="H21" s="17">
        <f>H22*H23</f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1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1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1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1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3">E30*E31</f>
        <v>0</v>
      </c>
      <c r="F29" s="17"/>
      <c r="G29" s="17"/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1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1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1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1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1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4">C33*C39/100</f>
        <v>57.053839999999994</v>
      </c>
      <c r="D38" s="17">
        <f t="shared" si="4"/>
        <v>50.313199999999995</v>
      </c>
      <c r="E38" s="17">
        <f t="shared" si="4"/>
        <v>359.43436000000003</v>
      </c>
      <c r="F38" s="17"/>
      <c r="G38" s="17"/>
      <c r="H38" s="17">
        <f t="shared" si="4"/>
        <v>517.44680000000005</v>
      </c>
      <c r="I38" s="17">
        <f t="shared" si="4"/>
        <v>434.74245615360002</v>
      </c>
      <c r="J38" s="17">
        <f t="shared" si="4"/>
        <v>429.39265999999998</v>
      </c>
      <c r="K38" s="17">
        <f t="shared" si="4"/>
        <v>241.88639650560003</v>
      </c>
      <c r="L38" s="17">
        <f t="shared" si="4"/>
        <v>192.85605964799998</v>
      </c>
      <c r="M38" s="82">
        <f t="shared" si="1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1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1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5">D42+D46+D47</f>
        <v>58.329599999999999</v>
      </c>
      <c r="E41" s="17">
        <f t="shared" si="5"/>
        <v>302.48388</v>
      </c>
      <c r="F41" s="17"/>
      <c r="G41" s="17"/>
      <c r="H41" s="17">
        <f t="shared" si="5"/>
        <v>550.44323999999995</v>
      </c>
      <c r="I41" s="17">
        <f t="shared" si="5"/>
        <v>321.87813623840003</v>
      </c>
      <c r="J41" s="17">
        <f t="shared" si="5"/>
        <v>1238.15408</v>
      </c>
      <c r="K41" s="17">
        <f t="shared" si="5"/>
        <v>177.37612532640006</v>
      </c>
      <c r="L41" s="17">
        <f t="shared" si="5"/>
        <v>144.50201091200003</v>
      </c>
      <c r="M41" s="82">
        <f t="shared" si="1"/>
        <v>106.41166604924534</v>
      </c>
      <c r="N41" s="284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1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1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1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1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6">C42*C39/100</f>
        <v>9.8723799999999997</v>
      </c>
      <c r="D46" s="17">
        <f t="shared" si="6"/>
        <v>13.529599999999999</v>
      </c>
      <c r="E46" s="17">
        <f t="shared" si="6"/>
        <v>62.19388</v>
      </c>
      <c r="F46" s="17"/>
      <c r="G46" s="17"/>
      <c r="H46" s="17">
        <f t="shared" si="6"/>
        <v>112.83324</v>
      </c>
      <c r="I46" s="17">
        <f t="shared" si="6"/>
        <v>73.945497038400021</v>
      </c>
      <c r="J46" s="17">
        <f t="shared" si="6"/>
        <v>279.66408000000001</v>
      </c>
      <c r="K46" s="17">
        <f t="shared" si="6"/>
        <v>41.142542126400009</v>
      </c>
      <c r="L46" s="17">
        <f t="shared" si="6"/>
        <v>32.802954912000004</v>
      </c>
      <c r="M46" s="82">
        <f t="shared" si="1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1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1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1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>C51+C56+C57+C61</f>
        <v>87.839999999999989</v>
      </c>
      <c r="D50" s="124">
        <f>D51+D56+D57+D61</f>
        <v>57.78</v>
      </c>
      <c r="E50" s="124">
        <f>E51+E56+E57+E61</f>
        <v>494.25070000000005</v>
      </c>
      <c r="F50" s="124"/>
      <c r="G50" s="124"/>
      <c r="H50" s="124">
        <f>H51+H56+H57+H61</f>
        <v>907.10205999999994</v>
      </c>
      <c r="I50" s="124">
        <f>I51+I56+I57+I61</f>
        <v>584.76441092480002</v>
      </c>
      <c r="J50" s="124">
        <f>J51+J56+J57+J61</f>
        <v>2546.6791399999997</v>
      </c>
      <c r="K50" s="124">
        <f>K51+K56+K57+K61</f>
        <v>327.7881084608</v>
      </c>
      <c r="L50" s="124">
        <f>L51+L56+L57+L61</f>
        <v>256.97630246399996</v>
      </c>
      <c r="M50" s="82">
        <f t="shared" si="1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7">C52+C53</f>
        <v>12.18</v>
      </c>
      <c r="D51" s="17">
        <f t="shared" si="7"/>
        <v>33.950000000000003</v>
      </c>
      <c r="E51" s="17">
        <f t="shared" si="7"/>
        <v>15.31</v>
      </c>
      <c r="F51" s="17"/>
      <c r="G51" s="17"/>
      <c r="H51" s="17">
        <f t="shared" si="7"/>
        <v>58.81</v>
      </c>
      <c r="I51" s="17">
        <f t="shared" si="7"/>
        <v>5.48</v>
      </c>
      <c r="J51" s="17">
        <f t="shared" si="7"/>
        <v>777.17000000000007</v>
      </c>
      <c r="K51" s="17">
        <f t="shared" si="7"/>
        <v>5.48</v>
      </c>
      <c r="L51" s="17">
        <f t="shared" si="7"/>
        <v>0</v>
      </c>
      <c r="M51" s="82">
        <f t="shared" si="1"/>
        <v>35.793598954931419</v>
      </c>
      <c r="N51" s="126"/>
    </row>
    <row r="52" spans="1:17" s="288" customFormat="1" ht="46.5" customHeight="1" x14ac:dyDescent="0.25">
      <c r="A52" s="289" t="s">
        <v>55</v>
      </c>
      <c r="B52" s="290" t="s">
        <v>56</v>
      </c>
      <c r="C52" s="291">
        <v>12.18</v>
      </c>
      <c r="D52" s="291">
        <v>33.950000000000003</v>
      </c>
      <c r="E52" s="291">
        <v>15.31</v>
      </c>
      <c r="F52" s="291"/>
      <c r="G52" s="291"/>
      <c r="H52" s="291">
        <v>58.81</v>
      </c>
      <c r="I52" s="291">
        <v>5.48</v>
      </c>
      <c r="J52" s="291">
        <v>302.29000000000002</v>
      </c>
      <c r="K52" s="291">
        <v>5.48</v>
      </c>
      <c r="L52" s="291">
        <f>I52-K52</f>
        <v>0</v>
      </c>
      <c r="M52" s="292">
        <f t="shared" si="1"/>
        <v>35.793598954931419</v>
      </c>
      <c r="N52" s="293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1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1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1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1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1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1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>H57/H58/12*1000</f>
        <v>18098.055555555555</v>
      </c>
      <c r="I60" s="111">
        <f>I57/I58/14*1000</f>
        <v>15889.960799999999</v>
      </c>
      <c r="J60" s="111">
        <f>J57/J58/12*1000</f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1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8">E57*E39/100</f>
        <v>111.0907</v>
      </c>
      <c r="F61" s="17"/>
      <c r="G61" s="17"/>
      <c r="H61" s="17">
        <f t="shared" si="8"/>
        <v>196.76205999999999</v>
      </c>
      <c r="I61" s="17">
        <f t="shared" si="8"/>
        <v>134.36550852479999</v>
      </c>
      <c r="J61" s="17">
        <f t="shared" si="8"/>
        <v>410.43913999999995</v>
      </c>
      <c r="K61" s="17">
        <f t="shared" si="8"/>
        <v>74.7596380608</v>
      </c>
      <c r="L61" s="17">
        <f t="shared" si="8"/>
        <v>59.605870463999992</v>
      </c>
      <c r="M61" s="82">
        <f t="shared" si="1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9">C63+C64+C67+C68+C70+C76+C79</f>
        <v>69.354420000000005</v>
      </c>
      <c r="D62" s="124">
        <f t="shared" si="9"/>
        <v>77.604599999999991</v>
      </c>
      <c r="E62" s="124">
        <f t="shared" si="9"/>
        <v>414.89188000000001</v>
      </c>
      <c r="F62" s="124"/>
      <c r="G62" s="124"/>
      <c r="H62" s="124">
        <f t="shared" si="9"/>
        <v>1869.3824</v>
      </c>
      <c r="I62" s="124">
        <f t="shared" si="9"/>
        <v>567.78305333333333</v>
      </c>
      <c r="J62" s="124">
        <f t="shared" si="9"/>
        <v>2117.6843000000003</v>
      </c>
      <c r="K62" s="124">
        <f t="shared" si="9"/>
        <v>323.73317333333335</v>
      </c>
      <c r="L62" s="124">
        <f t="shared" si="9"/>
        <v>244.04988</v>
      </c>
      <c r="M62" s="82">
        <f t="shared" si="1"/>
        <v>136.85084734204327</v>
      </c>
      <c r="N62" s="20"/>
      <c r="Q62" s="287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1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1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>H64/H65/12*1000</f>
        <v>36838.888888888891</v>
      </c>
      <c r="I66" s="111">
        <f>I64/I65/14*1000</f>
        <v>35064.579256360084</v>
      </c>
      <c r="J66" s="111">
        <f>J64/J65/12*1000</f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1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0">C64*C39/100</f>
        <v>10.784420000000001</v>
      </c>
      <c r="D67" s="17">
        <f t="shared" si="10"/>
        <v>17.304599999999997</v>
      </c>
      <c r="E67" s="17">
        <f t="shared" si="10"/>
        <v>67.931880000000007</v>
      </c>
      <c r="F67" s="17"/>
      <c r="G67" s="17"/>
      <c r="H67" s="17">
        <f t="shared" si="10"/>
        <v>400.51239999999996</v>
      </c>
      <c r="I67" s="17">
        <f t="shared" si="10"/>
        <v>108.22471999999999</v>
      </c>
      <c r="J67" s="17">
        <f t="shared" si="10"/>
        <v>322.73834000000005</v>
      </c>
      <c r="K67" s="17">
        <f t="shared" si="10"/>
        <v>61.842697142857148</v>
      </c>
      <c r="L67" s="17">
        <f t="shared" si="10"/>
        <v>46.382022857142864</v>
      </c>
      <c r="M67" s="82">
        <f t="shared" si="1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1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1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1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1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1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1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1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1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1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1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1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1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1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1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>C88</f>
        <v>0.57999999999999996</v>
      </c>
      <c r="D87" s="124">
        <f>D88</f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1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1"/>
        <v>25.028901734104046</v>
      </c>
      <c r="N88" s="13" t="s">
        <v>440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1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1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12">C92+C93+C94</f>
        <v>0.37</v>
      </c>
      <c r="D91" s="124">
        <f t="shared" si="12"/>
        <v>0.37</v>
      </c>
      <c r="E91" s="124">
        <f t="shared" si="12"/>
        <v>2.19</v>
      </c>
      <c r="F91" s="124"/>
      <c r="G91" s="124"/>
      <c r="H91" s="124">
        <f t="shared" si="12"/>
        <v>2.8</v>
      </c>
      <c r="I91" s="124">
        <f t="shared" si="12"/>
        <v>4.37</v>
      </c>
      <c r="J91" s="124">
        <f t="shared" si="12"/>
        <v>7.86</v>
      </c>
      <c r="K91" s="124">
        <f t="shared" si="12"/>
        <v>2.4971428571428573</v>
      </c>
      <c r="L91" s="124">
        <f t="shared" si="12"/>
        <v>1.872857142857143</v>
      </c>
      <c r="M91" s="82">
        <f t="shared" si="11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1"/>
        <v>199.54337899543378</v>
      </c>
      <c r="N93" s="285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13">C13+C50+C62+C86+C87+C91</f>
        <v>478.89041099999997</v>
      </c>
      <c r="D95" s="124">
        <f t="shared" si="13"/>
        <v>505.17512799999992</v>
      </c>
      <c r="E95" s="124">
        <f t="shared" si="13"/>
        <v>2907.47082</v>
      </c>
      <c r="F95" s="124"/>
      <c r="G95" s="124"/>
      <c r="H95" s="124">
        <f t="shared" si="13"/>
        <v>6567.545306940001</v>
      </c>
      <c r="I95" s="124">
        <f t="shared" si="13"/>
        <v>3542.4494223001338</v>
      </c>
      <c r="J95" s="124">
        <f t="shared" ca="1" si="13"/>
        <v>5203.4642199999998</v>
      </c>
      <c r="K95" s="124">
        <f t="shared" si="13"/>
        <v>1978.4896232832764</v>
      </c>
      <c r="L95" s="124">
        <f t="shared" si="13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14">C97/C95*100</f>
        <v>1.000228839411863</v>
      </c>
      <c r="D96" s="17">
        <f t="shared" si="14"/>
        <v>0</v>
      </c>
      <c r="E96" s="17">
        <f t="shared" si="14"/>
        <v>0.99915018235677433</v>
      </c>
      <c r="F96" s="17"/>
      <c r="G96" s="17"/>
      <c r="H96" s="17">
        <f t="shared" si="14"/>
        <v>0.14997993222203418</v>
      </c>
      <c r="I96" s="17">
        <f t="shared" si="14"/>
        <v>1</v>
      </c>
      <c r="J96" s="17">
        <f t="shared" ca="1" si="14"/>
        <v>1.26206899091094E-2</v>
      </c>
      <c r="K96" s="17">
        <f t="shared" si="14"/>
        <v>1</v>
      </c>
      <c r="L96" s="17">
        <f t="shared" si="14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15">C98+C99+C100+C101+C102</f>
        <v>4.79</v>
      </c>
      <c r="D97" s="124">
        <f t="shared" si="15"/>
        <v>0</v>
      </c>
      <c r="E97" s="124">
        <f t="shared" si="15"/>
        <v>29.05</v>
      </c>
      <c r="F97" s="124"/>
      <c r="G97" s="124"/>
      <c r="H97" s="124">
        <f t="shared" si="15"/>
        <v>9.85</v>
      </c>
      <c r="I97" s="124">
        <f t="shared" si="15"/>
        <v>35.424494223001339</v>
      </c>
      <c r="J97" s="124">
        <f t="shared" ca="1" si="15"/>
        <v>1.3199999999999998</v>
      </c>
      <c r="K97" s="124">
        <f t="shared" si="15"/>
        <v>19.784896232832764</v>
      </c>
      <c r="L97" s="124">
        <f t="shared" si="15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ca="1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16">C95+C97</f>
        <v>483.68041099999999</v>
      </c>
      <c r="D103" s="124">
        <v>2510.36</v>
      </c>
      <c r="E103" s="124">
        <f t="shared" si="16"/>
        <v>2936.5208200000002</v>
      </c>
      <c r="F103" s="124"/>
      <c r="G103" s="124"/>
      <c r="H103" s="124">
        <f t="shared" si="16"/>
        <v>6577.3953069400013</v>
      </c>
      <c r="I103" s="124">
        <f t="shared" si="16"/>
        <v>3577.873916523135</v>
      </c>
      <c r="J103" s="124">
        <f t="shared" ca="1" si="16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1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17">E103/E104</f>
        <v>215.24010994649271</v>
      </c>
      <c r="F107" s="124"/>
      <c r="G107" s="124"/>
      <c r="H107" s="124">
        <f t="shared" si="17"/>
        <v>413.46462829645469</v>
      </c>
      <c r="I107" s="124">
        <f t="shared" si="17"/>
        <v>224.91035432003613</v>
      </c>
      <c r="J107" s="124">
        <f t="shared" ca="1" si="17"/>
        <v>145.6709027267157</v>
      </c>
      <c r="K107" s="124">
        <f>K103/K104</f>
        <v>219.82527087963231</v>
      </c>
      <c r="L107" s="124">
        <f t="shared" si="17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2" customWidth="1"/>
    <col min="2" max="2" width="32.28515625" style="282" customWidth="1"/>
    <col min="3" max="3" width="15.140625" style="282" customWidth="1"/>
    <col min="4" max="4" width="16.7109375" style="282" customWidth="1"/>
    <col min="5" max="5" width="16.42578125" style="282" customWidth="1"/>
    <col min="6" max="256" width="9.140625" style="282"/>
    <col min="257" max="257" width="5.85546875" style="282" customWidth="1"/>
    <col min="258" max="258" width="32.28515625" style="282" customWidth="1"/>
    <col min="259" max="259" width="16.7109375" style="282" customWidth="1"/>
    <col min="260" max="260" width="15" style="282" customWidth="1"/>
    <col min="261" max="261" width="18.28515625" style="282" customWidth="1"/>
    <col min="262" max="512" width="9.140625" style="282"/>
    <col min="513" max="513" width="5.85546875" style="282" customWidth="1"/>
    <col min="514" max="514" width="32.28515625" style="282" customWidth="1"/>
    <col min="515" max="515" width="16.7109375" style="282" customWidth="1"/>
    <col min="516" max="516" width="15" style="282" customWidth="1"/>
    <col min="517" max="517" width="18.28515625" style="282" customWidth="1"/>
    <col min="518" max="768" width="9.140625" style="282"/>
    <col min="769" max="769" width="5.85546875" style="282" customWidth="1"/>
    <col min="770" max="770" width="32.28515625" style="282" customWidth="1"/>
    <col min="771" max="771" width="16.7109375" style="282" customWidth="1"/>
    <col min="772" max="772" width="15" style="282" customWidth="1"/>
    <col min="773" max="773" width="18.28515625" style="282" customWidth="1"/>
    <col min="774" max="1024" width="9.140625" style="282"/>
    <col min="1025" max="1025" width="5.85546875" style="282" customWidth="1"/>
    <col min="1026" max="1026" width="32.28515625" style="282" customWidth="1"/>
    <col min="1027" max="1027" width="16.7109375" style="282" customWidth="1"/>
    <col min="1028" max="1028" width="15" style="282" customWidth="1"/>
    <col min="1029" max="1029" width="18.28515625" style="282" customWidth="1"/>
    <col min="1030" max="1280" width="9.140625" style="282"/>
    <col min="1281" max="1281" width="5.85546875" style="282" customWidth="1"/>
    <col min="1282" max="1282" width="32.28515625" style="282" customWidth="1"/>
    <col min="1283" max="1283" width="16.7109375" style="282" customWidth="1"/>
    <col min="1284" max="1284" width="15" style="282" customWidth="1"/>
    <col min="1285" max="1285" width="18.28515625" style="282" customWidth="1"/>
    <col min="1286" max="1536" width="9.140625" style="282"/>
    <col min="1537" max="1537" width="5.85546875" style="282" customWidth="1"/>
    <col min="1538" max="1538" width="32.28515625" style="282" customWidth="1"/>
    <col min="1539" max="1539" width="16.7109375" style="282" customWidth="1"/>
    <col min="1540" max="1540" width="15" style="282" customWidth="1"/>
    <col min="1541" max="1541" width="18.28515625" style="282" customWidth="1"/>
    <col min="1542" max="1792" width="9.140625" style="282"/>
    <col min="1793" max="1793" width="5.85546875" style="282" customWidth="1"/>
    <col min="1794" max="1794" width="32.28515625" style="282" customWidth="1"/>
    <col min="1795" max="1795" width="16.7109375" style="282" customWidth="1"/>
    <col min="1796" max="1796" width="15" style="282" customWidth="1"/>
    <col min="1797" max="1797" width="18.28515625" style="282" customWidth="1"/>
    <col min="1798" max="2048" width="9.140625" style="282"/>
    <col min="2049" max="2049" width="5.85546875" style="282" customWidth="1"/>
    <col min="2050" max="2050" width="32.28515625" style="282" customWidth="1"/>
    <col min="2051" max="2051" width="16.7109375" style="282" customWidth="1"/>
    <col min="2052" max="2052" width="15" style="282" customWidth="1"/>
    <col min="2053" max="2053" width="18.28515625" style="282" customWidth="1"/>
    <col min="2054" max="2304" width="9.140625" style="282"/>
    <col min="2305" max="2305" width="5.85546875" style="282" customWidth="1"/>
    <col min="2306" max="2306" width="32.28515625" style="282" customWidth="1"/>
    <col min="2307" max="2307" width="16.7109375" style="282" customWidth="1"/>
    <col min="2308" max="2308" width="15" style="282" customWidth="1"/>
    <col min="2309" max="2309" width="18.28515625" style="282" customWidth="1"/>
    <col min="2310" max="2560" width="9.140625" style="282"/>
    <col min="2561" max="2561" width="5.85546875" style="282" customWidth="1"/>
    <col min="2562" max="2562" width="32.28515625" style="282" customWidth="1"/>
    <col min="2563" max="2563" width="16.7109375" style="282" customWidth="1"/>
    <col min="2564" max="2564" width="15" style="282" customWidth="1"/>
    <col min="2565" max="2565" width="18.28515625" style="282" customWidth="1"/>
    <col min="2566" max="2816" width="9.140625" style="282"/>
    <col min="2817" max="2817" width="5.85546875" style="282" customWidth="1"/>
    <col min="2818" max="2818" width="32.28515625" style="282" customWidth="1"/>
    <col min="2819" max="2819" width="16.7109375" style="282" customWidth="1"/>
    <col min="2820" max="2820" width="15" style="282" customWidth="1"/>
    <col min="2821" max="2821" width="18.28515625" style="282" customWidth="1"/>
    <col min="2822" max="3072" width="9.140625" style="282"/>
    <col min="3073" max="3073" width="5.85546875" style="282" customWidth="1"/>
    <col min="3074" max="3074" width="32.28515625" style="282" customWidth="1"/>
    <col min="3075" max="3075" width="16.7109375" style="282" customWidth="1"/>
    <col min="3076" max="3076" width="15" style="282" customWidth="1"/>
    <col min="3077" max="3077" width="18.28515625" style="282" customWidth="1"/>
    <col min="3078" max="3328" width="9.140625" style="282"/>
    <col min="3329" max="3329" width="5.85546875" style="282" customWidth="1"/>
    <col min="3330" max="3330" width="32.28515625" style="282" customWidth="1"/>
    <col min="3331" max="3331" width="16.7109375" style="282" customWidth="1"/>
    <col min="3332" max="3332" width="15" style="282" customWidth="1"/>
    <col min="3333" max="3333" width="18.28515625" style="282" customWidth="1"/>
    <col min="3334" max="3584" width="9.140625" style="282"/>
    <col min="3585" max="3585" width="5.85546875" style="282" customWidth="1"/>
    <col min="3586" max="3586" width="32.28515625" style="282" customWidth="1"/>
    <col min="3587" max="3587" width="16.7109375" style="282" customWidth="1"/>
    <col min="3588" max="3588" width="15" style="282" customWidth="1"/>
    <col min="3589" max="3589" width="18.28515625" style="282" customWidth="1"/>
    <col min="3590" max="3840" width="9.140625" style="282"/>
    <col min="3841" max="3841" width="5.85546875" style="282" customWidth="1"/>
    <col min="3842" max="3842" width="32.28515625" style="282" customWidth="1"/>
    <col min="3843" max="3843" width="16.7109375" style="282" customWidth="1"/>
    <col min="3844" max="3844" width="15" style="282" customWidth="1"/>
    <col min="3845" max="3845" width="18.28515625" style="282" customWidth="1"/>
    <col min="3846" max="4096" width="9.140625" style="282"/>
    <col min="4097" max="4097" width="5.85546875" style="282" customWidth="1"/>
    <col min="4098" max="4098" width="32.28515625" style="282" customWidth="1"/>
    <col min="4099" max="4099" width="16.7109375" style="282" customWidth="1"/>
    <col min="4100" max="4100" width="15" style="282" customWidth="1"/>
    <col min="4101" max="4101" width="18.28515625" style="282" customWidth="1"/>
    <col min="4102" max="4352" width="9.140625" style="282"/>
    <col min="4353" max="4353" width="5.85546875" style="282" customWidth="1"/>
    <col min="4354" max="4354" width="32.28515625" style="282" customWidth="1"/>
    <col min="4355" max="4355" width="16.7109375" style="282" customWidth="1"/>
    <col min="4356" max="4356" width="15" style="282" customWidth="1"/>
    <col min="4357" max="4357" width="18.28515625" style="282" customWidth="1"/>
    <col min="4358" max="4608" width="9.140625" style="282"/>
    <col min="4609" max="4609" width="5.85546875" style="282" customWidth="1"/>
    <col min="4610" max="4610" width="32.28515625" style="282" customWidth="1"/>
    <col min="4611" max="4611" width="16.7109375" style="282" customWidth="1"/>
    <col min="4612" max="4612" width="15" style="282" customWidth="1"/>
    <col min="4613" max="4613" width="18.28515625" style="282" customWidth="1"/>
    <col min="4614" max="4864" width="9.140625" style="282"/>
    <col min="4865" max="4865" width="5.85546875" style="282" customWidth="1"/>
    <col min="4866" max="4866" width="32.28515625" style="282" customWidth="1"/>
    <col min="4867" max="4867" width="16.7109375" style="282" customWidth="1"/>
    <col min="4868" max="4868" width="15" style="282" customWidth="1"/>
    <col min="4869" max="4869" width="18.28515625" style="282" customWidth="1"/>
    <col min="4870" max="5120" width="9.140625" style="282"/>
    <col min="5121" max="5121" width="5.85546875" style="282" customWidth="1"/>
    <col min="5122" max="5122" width="32.28515625" style="282" customWidth="1"/>
    <col min="5123" max="5123" width="16.7109375" style="282" customWidth="1"/>
    <col min="5124" max="5124" width="15" style="282" customWidth="1"/>
    <col min="5125" max="5125" width="18.28515625" style="282" customWidth="1"/>
    <col min="5126" max="5376" width="9.140625" style="282"/>
    <col min="5377" max="5377" width="5.85546875" style="282" customWidth="1"/>
    <col min="5378" max="5378" width="32.28515625" style="282" customWidth="1"/>
    <col min="5379" max="5379" width="16.7109375" style="282" customWidth="1"/>
    <col min="5380" max="5380" width="15" style="282" customWidth="1"/>
    <col min="5381" max="5381" width="18.28515625" style="282" customWidth="1"/>
    <col min="5382" max="5632" width="9.140625" style="282"/>
    <col min="5633" max="5633" width="5.85546875" style="282" customWidth="1"/>
    <col min="5634" max="5634" width="32.28515625" style="282" customWidth="1"/>
    <col min="5635" max="5635" width="16.7109375" style="282" customWidth="1"/>
    <col min="5636" max="5636" width="15" style="282" customWidth="1"/>
    <col min="5637" max="5637" width="18.28515625" style="282" customWidth="1"/>
    <col min="5638" max="5888" width="9.140625" style="282"/>
    <col min="5889" max="5889" width="5.85546875" style="282" customWidth="1"/>
    <col min="5890" max="5890" width="32.28515625" style="282" customWidth="1"/>
    <col min="5891" max="5891" width="16.7109375" style="282" customWidth="1"/>
    <col min="5892" max="5892" width="15" style="282" customWidth="1"/>
    <col min="5893" max="5893" width="18.28515625" style="282" customWidth="1"/>
    <col min="5894" max="6144" width="9.140625" style="282"/>
    <col min="6145" max="6145" width="5.85546875" style="282" customWidth="1"/>
    <col min="6146" max="6146" width="32.28515625" style="282" customWidth="1"/>
    <col min="6147" max="6147" width="16.7109375" style="282" customWidth="1"/>
    <col min="6148" max="6148" width="15" style="282" customWidth="1"/>
    <col min="6149" max="6149" width="18.28515625" style="282" customWidth="1"/>
    <col min="6150" max="6400" width="9.140625" style="282"/>
    <col min="6401" max="6401" width="5.85546875" style="282" customWidth="1"/>
    <col min="6402" max="6402" width="32.28515625" style="282" customWidth="1"/>
    <col min="6403" max="6403" width="16.7109375" style="282" customWidth="1"/>
    <col min="6404" max="6404" width="15" style="282" customWidth="1"/>
    <col min="6405" max="6405" width="18.28515625" style="282" customWidth="1"/>
    <col min="6406" max="6656" width="9.140625" style="282"/>
    <col min="6657" max="6657" width="5.85546875" style="282" customWidth="1"/>
    <col min="6658" max="6658" width="32.28515625" style="282" customWidth="1"/>
    <col min="6659" max="6659" width="16.7109375" style="282" customWidth="1"/>
    <col min="6660" max="6660" width="15" style="282" customWidth="1"/>
    <col min="6661" max="6661" width="18.28515625" style="282" customWidth="1"/>
    <col min="6662" max="6912" width="9.140625" style="282"/>
    <col min="6913" max="6913" width="5.85546875" style="282" customWidth="1"/>
    <col min="6914" max="6914" width="32.28515625" style="282" customWidth="1"/>
    <col min="6915" max="6915" width="16.7109375" style="282" customWidth="1"/>
    <col min="6916" max="6916" width="15" style="282" customWidth="1"/>
    <col min="6917" max="6917" width="18.28515625" style="282" customWidth="1"/>
    <col min="6918" max="7168" width="9.140625" style="282"/>
    <col min="7169" max="7169" width="5.85546875" style="282" customWidth="1"/>
    <col min="7170" max="7170" width="32.28515625" style="282" customWidth="1"/>
    <col min="7171" max="7171" width="16.7109375" style="282" customWidth="1"/>
    <col min="7172" max="7172" width="15" style="282" customWidth="1"/>
    <col min="7173" max="7173" width="18.28515625" style="282" customWidth="1"/>
    <col min="7174" max="7424" width="9.140625" style="282"/>
    <col min="7425" max="7425" width="5.85546875" style="282" customWidth="1"/>
    <col min="7426" max="7426" width="32.28515625" style="282" customWidth="1"/>
    <col min="7427" max="7427" width="16.7109375" style="282" customWidth="1"/>
    <col min="7428" max="7428" width="15" style="282" customWidth="1"/>
    <col min="7429" max="7429" width="18.28515625" style="282" customWidth="1"/>
    <col min="7430" max="7680" width="9.140625" style="282"/>
    <col min="7681" max="7681" width="5.85546875" style="282" customWidth="1"/>
    <col min="7682" max="7682" width="32.28515625" style="282" customWidth="1"/>
    <col min="7683" max="7683" width="16.7109375" style="282" customWidth="1"/>
    <col min="7684" max="7684" width="15" style="282" customWidth="1"/>
    <col min="7685" max="7685" width="18.28515625" style="282" customWidth="1"/>
    <col min="7686" max="7936" width="9.140625" style="282"/>
    <col min="7937" max="7937" width="5.85546875" style="282" customWidth="1"/>
    <col min="7938" max="7938" width="32.28515625" style="282" customWidth="1"/>
    <col min="7939" max="7939" width="16.7109375" style="282" customWidth="1"/>
    <col min="7940" max="7940" width="15" style="282" customWidth="1"/>
    <col min="7941" max="7941" width="18.28515625" style="282" customWidth="1"/>
    <col min="7942" max="8192" width="9.140625" style="282"/>
    <col min="8193" max="8193" width="5.85546875" style="282" customWidth="1"/>
    <col min="8194" max="8194" width="32.28515625" style="282" customWidth="1"/>
    <col min="8195" max="8195" width="16.7109375" style="282" customWidth="1"/>
    <col min="8196" max="8196" width="15" style="282" customWidth="1"/>
    <col min="8197" max="8197" width="18.28515625" style="282" customWidth="1"/>
    <col min="8198" max="8448" width="9.140625" style="282"/>
    <col min="8449" max="8449" width="5.85546875" style="282" customWidth="1"/>
    <col min="8450" max="8450" width="32.28515625" style="282" customWidth="1"/>
    <col min="8451" max="8451" width="16.7109375" style="282" customWidth="1"/>
    <col min="8452" max="8452" width="15" style="282" customWidth="1"/>
    <col min="8453" max="8453" width="18.28515625" style="282" customWidth="1"/>
    <col min="8454" max="8704" width="9.140625" style="282"/>
    <col min="8705" max="8705" width="5.85546875" style="282" customWidth="1"/>
    <col min="8706" max="8706" width="32.28515625" style="282" customWidth="1"/>
    <col min="8707" max="8707" width="16.7109375" style="282" customWidth="1"/>
    <col min="8708" max="8708" width="15" style="282" customWidth="1"/>
    <col min="8709" max="8709" width="18.28515625" style="282" customWidth="1"/>
    <col min="8710" max="8960" width="9.140625" style="282"/>
    <col min="8961" max="8961" width="5.85546875" style="282" customWidth="1"/>
    <col min="8962" max="8962" width="32.28515625" style="282" customWidth="1"/>
    <col min="8963" max="8963" width="16.7109375" style="282" customWidth="1"/>
    <col min="8964" max="8964" width="15" style="282" customWidth="1"/>
    <col min="8965" max="8965" width="18.28515625" style="282" customWidth="1"/>
    <col min="8966" max="9216" width="9.140625" style="282"/>
    <col min="9217" max="9217" width="5.85546875" style="282" customWidth="1"/>
    <col min="9218" max="9218" width="32.28515625" style="282" customWidth="1"/>
    <col min="9219" max="9219" width="16.7109375" style="282" customWidth="1"/>
    <col min="9220" max="9220" width="15" style="282" customWidth="1"/>
    <col min="9221" max="9221" width="18.28515625" style="282" customWidth="1"/>
    <col min="9222" max="9472" width="9.140625" style="282"/>
    <col min="9473" max="9473" width="5.85546875" style="282" customWidth="1"/>
    <col min="9474" max="9474" width="32.28515625" style="282" customWidth="1"/>
    <col min="9475" max="9475" width="16.7109375" style="282" customWidth="1"/>
    <col min="9476" max="9476" width="15" style="282" customWidth="1"/>
    <col min="9477" max="9477" width="18.28515625" style="282" customWidth="1"/>
    <col min="9478" max="9728" width="9.140625" style="282"/>
    <col min="9729" max="9729" width="5.85546875" style="282" customWidth="1"/>
    <col min="9730" max="9730" width="32.28515625" style="282" customWidth="1"/>
    <col min="9731" max="9731" width="16.7109375" style="282" customWidth="1"/>
    <col min="9732" max="9732" width="15" style="282" customWidth="1"/>
    <col min="9733" max="9733" width="18.28515625" style="282" customWidth="1"/>
    <col min="9734" max="9984" width="9.140625" style="282"/>
    <col min="9985" max="9985" width="5.85546875" style="282" customWidth="1"/>
    <col min="9986" max="9986" width="32.28515625" style="282" customWidth="1"/>
    <col min="9987" max="9987" width="16.7109375" style="282" customWidth="1"/>
    <col min="9988" max="9988" width="15" style="282" customWidth="1"/>
    <col min="9989" max="9989" width="18.28515625" style="282" customWidth="1"/>
    <col min="9990" max="10240" width="9.140625" style="282"/>
    <col min="10241" max="10241" width="5.85546875" style="282" customWidth="1"/>
    <col min="10242" max="10242" width="32.28515625" style="282" customWidth="1"/>
    <col min="10243" max="10243" width="16.7109375" style="282" customWidth="1"/>
    <col min="10244" max="10244" width="15" style="282" customWidth="1"/>
    <col min="10245" max="10245" width="18.28515625" style="282" customWidth="1"/>
    <col min="10246" max="10496" width="9.140625" style="282"/>
    <col min="10497" max="10497" width="5.85546875" style="282" customWidth="1"/>
    <col min="10498" max="10498" width="32.28515625" style="282" customWidth="1"/>
    <col min="10499" max="10499" width="16.7109375" style="282" customWidth="1"/>
    <col min="10500" max="10500" width="15" style="282" customWidth="1"/>
    <col min="10501" max="10501" width="18.28515625" style="282" customWidth="1"/>
    <col min="10502" max="10752" width="9.140625" style="282"/>
    <col min="10753" max="10753" width="5.85546875" style="282" customWidth="1"/>
    <col min="10754" max="10754" width="32.28515625" style="282" customWidth="1"/>
    <col min="10755" max="10755" width="16.7109375" style="282" customWidth="1"/>
    <col min="10756" max="10756" width="15" style="282" customWidth="1"/>
    <col min="10757" max="10757" width="18.28515625" style="282" customWidth="1"/>
    <col min="10758" max="11008" width="9.140625" style="282"/>
    <col min="11009" max="11009" width="5.85546875" style="282" customWidth="1"/>
    <col min="11010" max="11010" width="32.28515625" style="282" customWidth="1"/>
    <col min="11011" max="11011" width="16.7109375" style="282" customWidth="1"/>
    <col min="11012" max="11012" width="15" style="282" customWidth="1"/>
    <col min="11013" max="11013" width="18.28515625" style="282" customWidth="1"/>
    <col min="11014" max="11264" width="9.140625" style="282"/>
    <col min="11265" max="11265" width="5.85546875" style="282" customWidth="1"/>
    <col min="11266" max="11266" width="32.28515625" style="282" customWidth="1"/>
    <col min="11267" max="11267" width="16.7109375" style="282" customWidth="1"/>
    <col min="11268" max="11268" width="15" style="282" customWidth="1"/>
    <col min="11269" max="11269" width="18.28515625" style="282" customWidth="1"/>
    <col min="11270" max="11520" width="9.140625" style="282"/>
    <col min="11521" max="11521" width="5.85546875" style="282" customWidth="1"/>
    <col min="11522" max="11522" width="32.28515625" style="282" customWidth="1"/>
    <col min="11523" max="11523" width="16.7109375" style="282" customWidth="1"/>
    <col min="11524" max="11524" width="15" style="282" customWidth="1"/>
    <col min="11525" max="11525" width="18.28515625" style="282" customWidth="1"/>
    <col min="11526" max="11776" width="9.140625" style="282"/>
    <col min="11777" max="11777" width="5.85546875" style="282" customWidth="1"/>
    <col min="11778" max="11778" width="32.28515625" style="282" customWidth="1"/>
    <col min="11779" max="11779" width="16.7109375" style="282" customWidth="1"/>
    <col min="11780" max="11780" width="15" style="282" customWidth="1"/>
    <col min="11781" max="11781" width="18.28515625" style="282" customWidth="1"/>
    <col min="11782" max="12032" width="9.140625" style="282"/>
    <col min="12033" max="12033" width="5.85546875" style="282" customWidth="1"/>
    <col min="12034" max="12034" width="32.28515625" style="282" customWidth="1"/>
    <col min="12035" max="12035" width="16.7109375" style="282" customWidth="1"/>
    <col min="12036" max="12036" width="15" style="282" customWidth="1"/>
    <col min="12037" max="12037" width="18.28515625" style="282" customWidth="1"/>
    <col min="12038" max="12288" width="9.140625" style="282"/>
    <col min="12289" max="12289" width="5.85546875" style="282" customWidth="1"/>
    <col min="12290" max="12290" width="32.28515625" style="282" customWidth="1"/>
    <col min="12291" max="12291" width="16.7109375" style="282" customWidth="1"/>
    <col min="12292" max="12292" width="15" style="282" customWidth="1"/>
    <col min="12293" max="12293" width="18.28515625" style="282" customWidth="1"/>
    <col min="12294" max="12544" width="9.140625" style="282"/>
    <col min="12545" max="12545" width="5.85546875" style="282" customWidth="1"/>
    <col min="12546" max="12546" width="32.28515625" style="282" customWidth="1"/>
    <col min="12547" max="12547" width="16.7109375" style="282" customWidth="1"/>
    <col min="12548" max="12548" width="15" style="282" customWidth="1"/>
    <col min="12549" max="12549" width="18.28515625" style="282" customWidth="1"/>
    <col min="12550" max="12800" width="9.140625" style="282"/>
    <col min="12801" max="12801" width="5.85546875" style="282" customWidth="1"/>
    <col min="12802" max="12802" width="32.28515625" style="282" customWidth="1"/>
    <col min="12803" max="12803" width="16.7109375" style="282" customWidth="1"/>
    <col min="12804" max="12804" width="15" style="282" customWidth="1"/>
    <col min="12805" max="12805" width="18.28515625" style="282" customWidth="1"/>
    <col min="12806" max="13056" width="9.140625" style="282"/>
    <col min="13057" max="13057" width="5.85546875" style="282" customWidth="1"/>
    <col min="13058" max="13058" width="32.28515625" style="282" customWidth="1"/>
    <col min="13059" max="13059" width="16.7109375" style="282" customWidth="1"/>
    <col min="13060" max="13060" width="15" style="282" customWidth="1"/>
    <col min="13061" max="13061" width="18.28515625" style="282" customWidth="1"/>
    <col min="13062" max="13312" width="9.140625" style="282"/>
    <col min="13313" max="13313" width="5.85546875" style="282" customWidth="1"/>
    <col min="13314" max="13314" width="32.28515625" style="282" customWidth="1"/>
    <col min="13315" max="13315" width="16.7109375" style="282" customWidth="1"/>
    <col min="13316" max="13316" width="15" style="282" customWidth="1"/>
    <col min="13317" max="13317" width="18.28515625" style="282" customWidth="1"/>
    <col min="13318" max="13568" width="9.140625" style="282"/>
    <col min="13569" max="13569" width="5.85546875" style="282" customWidth="1"/>
    <col min="13570" max="13570" width="32.28515625" style="282" customWidth="1"/>
    <col min="13571" max="13571" width="16.7109375" style="282" customWidth="1"/>
    <col min="13572" max="13572" width="15" style="282" customWidth="1"/>
    <col min="13573" max="13573" width="18.28515625" style="282" customWidth="1"/>
    <col min="13574" max="13824" width="9.140625" style="282"/>
    <col min="13825" max="13825" width="5.85546875" style="282" customWidth="1"/>
    <col min="13826" max="13826" width="32.28515625" style="282" customWidth="1"/>
    <col min="13827" max="13827" width="16.7109375" style="282" customWidth="1"/>
    <col min="13828" max="13828" width="15" style="282" customWidth="1"/>
    <col min="13829" max="13829" width="18.28515625" style="282" customWidth="1"/>
    <col min="13830" max="14080" width="9.140625" style="282"/>
    <col min="14081" max="14081" width="5.85546875" style="282" customWidth="1"/>
    <col min="14082" max="14082" width="32.28515625" style="282" customWidth="1"/>
    <col min="14083" max="14083" width="16.7109375" style="282" customWidth="1"/>
    <col min="14084" max="14084" width="15" style="282" customWidth="1"/>
    <col min="14085" max="14085" width="18.28515625" style="282" customWidth="1"/>
    <col min="14086" max="14336" width="9.140625" style="282"/>
    <col min="14337" max="14337" width="5.85546875" style="282" customWidth="1"/>
    <col min="14338" max="14338" width="32.28515625" style="282" customWidth="1"/>
    <col min="14339" max="14339" width="16.7109375" style="282" customWidth="1"/>
    <col min="14340" max="14340" width="15" style="282" customWidth="1"/>
    <col min="14341" max="14341" width="18.28515625" style="282" customWidth="1"/>
    <col min="14342" max="14592" width="9.140625" style="282"/>
    <col min="14593" max="14593" width="5.85546875" style="282" customWidth="1"/>
    <col min="14594" max="14594" width="32.28515625" style="282" customWidth="1"/>
    <col min="14595" max="14595" width="16.7109375" style="282" customWidth="1"/>
    <col min="14596" max="14596" width="15" style="282" customWidth="1"/>
    <col min="14597" max="14597" width="18.28515625" style="282" customWidth="1"/>
    <col min="14598" max="14848" width="9.140625" style="282"/>
    <col min="14849" max="14849" width="5.85546875" style="282" customWidth="1"/>
    <col min="14850" max="14850" width="32.28515625" style="282" customWidth="1"/>
    <col min="14851" max="14851" width="16.7109375" style="282" customWidth="1"/>
    <col min="14852" max="14852" width="15" style="282" customWidth="1"/>
    <col min="14853" max="14853" width="18.28515625" style="282" customWidth="1"/>
    <col min="14854" max="15104" width="9.140625" style="282"/>
    <col min="15105" max="15105" width="5.85546875" style="282" customWidth="1"/>
    <col min="15106" max="15106" width="32.28515625" style="282" customWidth="1"/>
    <col min="15107" max="15107" width="16.7109375" style="282" customWidth="1"/>
    <col min="15108" max="15108" width="15" style="282" customWidth="1"/>
    <col min="15109" max="15109" width="18.28515625" style="282" customWidth="1"/>
    <col min="15110" max="15360" width="9.140625" style="282"/>
    <col min="15361" max="15361" width="5.85546875" style="282" customWidth="1"/>
    <col min="15362" max="15362" width="32.28515625" style="282" customWidth="1"/>
    <col min="15363" max="15363" width="16.7109375" style="282" customWidth="1"/>
    <col min="15364" max="15364" width="15" style="282" customWidth="1"/>
    <col min="15365" max="15365" width="18.28515625" style="282" customWidth="1"/>
    <col min="15366" max="15616" width="9.140625" style="282"/>
    <col min="15617" max="15617" width="5.85546875" style="282" customWidth="1"/>
    <col min="15618" max="15618" width="32.28515625" style="282" customWidth="1"/>
    <col min="15619" max="15619" width="16.7109375" style="282" customWidth="1"/>
    <col min="15620" max="15620" width="15" style="282" customWidth="1"/>
    <col min="15621" max="15621" width="18.28515625" style="282" customWidth="1"/>
    <col min="15622" max="15872" width="9.140625" style="282"/>
    <col min="15873" max="15873" width="5.85546875" style="282" customWidth="1"/>
    <col min="15874" max="15874" width="32.28515625" style="282" customWidth="1"/>
    <col min="15875" max="15875" width="16.7109375" style="282" customWidth="1"/>
    <col min="15876" max="15876" width="15" style="282" customWidth="1"/>
    <col min="15877" max="15877" width="18.28515625" style="282" customWidth="1"/>
    <col min="15878" max="16128" width="9.140625" style="282"/>
    <col min="16129" max="16129" width="5.85546875" style="282" customWidth="1"/>
    <col min="16130" max="16130" width="32.28515625" style="282" customWidth="1"/>
    <col min="16131" max="16131" width="16.7109375" style="282" customWidth="1"/>
    <col min="16132" max="16132" width="15" style="282" customWidth="1"/>
    <col min="16133" max="16133" width="18.28515625" style="282" customWidth="1"/>
    <col min="16134" max="16384" width="9.140625" style="282"/>
  </cols>
  <sheetData>
    <row r="1" spans="1:6" ht="36.75" customHeight="1" x14ac:dyDescent="0.3">
      <c r="C1" s="333" t="s">
        <v>455</v>
      </c>
      <c r="D1" s="333"/>
      <c r="E1" s="333"/>
      <c r="F1" s="217"/>
    </row>
    <row r="2" spans="1:6" ht="15" customHeight="1" x14ac:dyDescent="0.3">
      <c r="D2" s="349"/>
      <c r="E2" s="349"/>
    </row>
    <row r="3" spans="1:6" ht="53.25" customHeight="1" x14ac:dyDescent="0.25">
      <c r="A3" s="350" t="s">
        <v>456</v>
      </c>
      <c r="B3" s="350"/>
      <c r="C3" s="350"/>
      <c r="D3" s="350"/>
      <c r="E3" s="350"/>
    </row>
    <row r="5" spans="1:6" s="283" customFormat="1" ht="18.75" customHeight="1" x14ac:dyDescent="0.25">
      <c r="A5" s="344" t="s">
        <v>160</v>
      </c>
      <c r="B5" s="344" t="s">
        <v>212</v>
      </c>
      <c r="C5" s="344" t="s">
        <v>240</v>
      </c>
      <c r="D5" s="344" t="s">
        <v>213</v>
      </c>
      <c r="E5" s="344"/>
    </row>
    <row r="6" spans="1:6" s="283" customFormat="1" ht="93" customHeight="1" x14ac:dyDescent="0.25">
      <c r="A6" s="344"/>
      <c r="B6" s="344"/>
      <c r="C6" s="344"/>
      <c r="D6" s="344" t="s">
        <v>450</v>
      </c>
      <c r="E6" s="346" t="s">
        <v>4</v>
      </c>
    </row>
    <row r="7" spans="1:6" s="283" customFormat="1" ht="18.75" customHeight="1" x14ac:dyDescent="0.25">
      <c r="A7" s="344"/>
      <c r="B7" s="344"/>
      <c r="C7" s="344"/>
      <c r="D7" s="344"/>
      <c r="E7" s="347"/>
    </row>
    <row r="8" spans="1:6" s="283" customFormat="1" ht="15.75" customHeight="1" x14ac:dyDescent="0.25">
      <c r="A8" s="294">
        <v>1</v>
      </c>
      <c r="B8" s="294">
        <v>2</v>
      </c>
      <c r="C8" s="294">
        <v>3</v>
      </c>
      <c r="D8" s="294">
        <v>4</v>
      </c>
      <c r="E8" s="294">
        <v>5</v>
      </c>
    </row>
    <row r="9" spans="1:6" s="283" customFormat="1" ht="18.75" x14ac:dyDescent="0.25">
      <c r="A9" s="294">
        <v>1</v>
      </c>
      <c r="B9" s="345" t="s">
        <v>215</v>
      </c>
      <c r="C9" s="345"/>
      <c r="D9" s="345"/>
      <c r="E9" s="345"/>
    </row>
    <row r="10" spans="1:6" ht="58.5" customHeight="1" x14ac:dyDescent="0.25">
      <c r="A10" s="296" t="s">
        <v>6</v>
      </c>
      <c r="B10" s="297" t="s">
        <v>216</v>
      </c>
      <c r="C10" s="296" t="s">
        <v>217</v>
      </c>
      <c r="D10" s="296">
        <v>19.25</v>
      </c>
      <c r="E10" s="296">
        <v>20.29</v>
      </c>
    </row>
    <row r="11" spans="1:6" ht="56.25" x14ac:dyDescent="0.25">
      <c r="A11" s="294" t="s">
        <v>8</v>
      </c>
      <c r="B11" s="295" t="s">
        <v>218</v>
      </c>
      <c r="C11" s="294" t="s">
        <v>217</v>
      </c>
      <c r="D11" s="294">
        <v>19.25</v>
      </c>
      <c r="E11" s="294">
        <v>20.29</v>
      </c>
    </row>
    <row r="12" spans="1:6" ht="57.75" hidden="1" customHeight="1" x14ac:dyDescent="0.25">
      <c r="A12" s="348" t="s">
        <v>435</v>
      </c>
      <c r="B12" s="348"/>
      <c r="C12" s="348"/>
      <c r="D12" s="348"/>
      <c r="E12" s="348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9" t="s">
        <v>265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21" x14ac:dyDescent="0.25">
      <c r="A2" s="339" t="s">
        <v>160</v>
      </c>
      <c r="B2" s="339" t="s">
        <v>266</v>
      </c>
      <c r="C2" s="339" t="s">
        <v>267</v>
      </c>
      <c r="D2" s="360" t="s">
        <v>268</v>
      </c>
      <c r="E2" s="361"/>
      <c r="F2" s="339" t="s">
        <v>269</v>
      </c>
      <c r="G2" s="339" t="s">
        <v>270</v>
      </c>
      <c r="H2" s="339" t="s">
        <v>271</v>
      </c>
      <c r="I2" s="339" t="s">
        <v>272</v>
      </c>
      <c r="J2" s="360" t="s">
        <v>273</v>
      </c>
      <c r="K2" s="361"/>
      <c r="L2" s="339" t="s">
        <v>274</v>
      </c>
      <c r="M2" s="360" t="s">
        <v>275</v>
      </c>
      <c r="N2" s="361"/>
      <c r="O2" s="360" t="s">
        <v>276</v>
      </c>
      <c r="P2" s="361"/>
    </row>
    <row r="3" spans="1:21" ht="38.25" x14ac:dyDescent="0.25">
      <c r="A3" s="340"/>
      <c r="B3" s="340"/>
      <c r="C3" s="340"/>
      <c r="D3" s="84" t="s">
        <v>277</v>
      </c>
      <c r="E3" s="84" t="s">
        <v>278</v>
      </c>
      <c r="F3" s="340"/>
      <c r="G3" s="362"/>
      <c r="H3" s="362"/>
      <c r="I3" s="362"/>
      <c r="J3" s="84" t="s">
        <v>279</v>
      </c>
      <c r="K3" s="84" t="s">
        <v>280</v>
      </c>
      <c r="L3" s="362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4" t="s">
        <v>299</v>
      </c>
      <c r="C23" s="355"/>
      <c r="D23" s="355"/>
      <c r="E23" s="355"/>
      <c r="F23" s="355"/>
      <c r="G23" s="355"/>
      <c r="H23" s="355"/>
      <c r="I23" s="355"/>
      <c r="J23" s="356"/>
    </row>
    <row r="24" spans="1:16" x14ac:dyDescent="0.25">
      <c r="B24" s="354"/>
      <c r="C24" s="355"/>
      <c r="D24" s="355"/>
      <c r="E24" s="355"/>
      <c r="F24" s="355"/>
      <c r="G24" s="355"/>
      <c r="H24" s="355"/>
      <c r="I24" s="355"/>
      <c r="J24" s="356"/>
    </row>
    <row r="25" spans="1:16" x14ac:dyDescent="0.25">
      <c r="B25" s="47"/>
      <c r="C25" s="357" t="s">
        <v>300</v>
      </c>
      <c r="D25" s="357"/>
      <c r="E25" s="357" t="s">
        <v>301</v>
      </c>
      <c r="F25" s="357"/>
      <c r="G25" s="357" t="s">
        <v>302</v>
      </c>
      <c r="H25" s="357"/>
      <c r="I25" s="29"/>
      <c r="J25" s="104"/>
    </row>
    <row r="26" spans="1:16" x14ac:dyDescent="0.25">
      <c r="B26" s="47"/>
      <c r="C26" s="352">
        <v>246</v>
      </c>
      <c r="D26" s="352"/>
      <c r="E26" s="352">
        <v>306</v>
      </c>
      <c r="F26" s="352"/>
      <c r="G26" s="352">
        <v>70</v>
      </c>
      <c r="H26" s="352"/>
      <c r="I26" s="29"/>
      <c r="J26" s="104"/>
    </row>
    <row r="27" spans="1:16" x14ac:dyDescent="0.25">
      <c r="B27" s="47"/>
      <c r="C27" s="353">
        <v>11.69</v>
      </c>
      <c r="D27" s="353"/>
      <c r="E27" s="353">
        <v>0</v>
      </c>
      <c r="F27" s="353"/>
      <c r="G27" s="353">
        <v>0</v>
      </c>
      <c r="H27" s="353"/>
      <c r="I27" s="29"/>
      <c r="J27" s="104"/>
    </row>
    <row r="28" spans="1:16" x14ac:dyDescent="0.25">
      <c r="B28" s="47"/>
      <c r="C28" s="358">
        <v>3.06</v>
      </c>
      <c r="D28" s="358"/>
      <c r="E28" s="358">
        <v>0</v>
      </c>
      <c r="F28" s="358"/>
      <c r="G28" s="358">
        <v>0</v>
      </c>
      <c r="H28" s="358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51">
        <f>C28+E28+G28</f>
        <v>3.06</v>
      </c>
      <c r="H29" s="351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5" t="s">
        <v>160</v>
      </c>
      <c r="B6" s="365" t="s">
        <v>315</v>
      </c>
      <c r="C6" s="370" t="s">
        <v>316</v>
      </c>
      <c r="D6" s="370" t="s">
        <v>317</v>
      </c>
      <c r="E6" s="365" t="s">
        <v>318</v>
      </c>
      <c r="F6" s="365" t="s">
        <v>319</v>
      </c>
      <c r="G6" s="365" t="s">
        <v>320</v>
      </c>
      <c r="H6" s="365" t="s">
        <v>321</v>
      </c>
      <c r="I6" s="365" t="s">
        <v>322</v>
      </c>
      <c r="J6" s="365" t="s">
        <v>323</v>
      </c>
      <c r="K6" s="365" t="s">
        <v>324</v>
      </c>
      <c r="L6" s="365" t="s">
        <v>325</v>
      </c>
      <c r="M6" s="365" t="s">
        <v>326</v>
      </c>
      <c r="N6" s="365" t="s">
        <v>327</v>
      </c>
    </row>
    <row r="7" spans="1:14" ht="15.75" thickBot="1" x14ac:dyDescent="0.3">
      <c r="A7" s="366"/>
      <c r="B7" s="366"/>
      <c r="C7" s="371"/>
      <c r="D7" s="371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9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3">
        <f>(F10+H10)*60%</f>
        <v>15288.16275</v>
      </c>
      <c r="J10" s="364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3">
        <f t="shared" ref="I11:I16" si="3">(F11+H11)*60%</f>
        <v>13249.74375</v>
      </c>
      <c r="J11" s="364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3">
        <f t="shared" si="3"/>
        <v>13249.74375</v>
      </c>
      <c r="J12" s="364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3">
        <f t="shared" si="3"/>
        <v>9104.9467499999992</v>
      </c>
      <c r="J13" s="364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3">
        <f t="shared" si="3"/>
        <v>7474.21425</v>
      </c>
      <c r="J14" s="364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3">
        <f t="shared" si="3"/>
        <v>4620.4222499999996</v>
      </c>
      <c r="J15" s="364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3">
        <f t="shared" si="3"/>
        <v>4620.4222499999996</v>
      </c>
      <c r="J16" s="364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7"/>
      <c r="J17" s="369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3" t="s">
        <v>337</v>
      </c>
      <c r="B1" s="373"/>
      <c r="C1" s="373"/>
      <c r="D1" s="373"/>
      <c r="E1" s="373"/>
    </row>
    <row r="2" spans="1:5" ht="15.75" hidden="1" x14ac:dyDescent="0.25">
      <c r="A2" s="373" t="s">
        <v>338</v>
      </c>
      <c r="B2" s="373"/>
      <c r="C2" s="373"/>
      <c r="D2" s="373"/>
      <c r="E2" s="373"/>
    </row>
    <row r="3" spans="1:5" ht="15.75" hidden="1" x14ac:dyDescent="0.25">
      <c r="A3" s="373"/>
      <c r="B3" s="373"/>
      <c r="C3" s="373"/>
      <c r="D3" s="373"/>
      <c r="E3" s="373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4" t="s">
        <v>349</v>
      </c>
      <c r="B12" s="374"/>
      <c r="C12" s="374"/>
      <c r="D12" s="374"/>
      <c r="E12" s="374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5" t="s">
        <v>350</v>
      </c>
      <c r="B15" s="375"/>
      <c r="C15" s="376" t="s">
        <v>351</v>
      </c>
      <c r="D15" s="376"/>
      <c r="E15" s="172" t="s">
        <v>352</v>
      </c>
    </row>
    <row r="16" spans="1:5" hidden="1" x14ac:dyDescent="0.25">
      <c r="C16" s="372" t="s">
        <v>353</v>
      </c>
      <c r="D16" s="372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3" t="s">
        <v>337</v>
      </c>
      <c r="B23" s="373"/>
      <c r="C23" s="373"/>
      <c r="D23" s="373"/>
      <c r="E23" s="373"/>
    </row>
    <row r="24" spans="1:6" ht="15.75" hidden="1" x14ac:dyDescent="0.25">
      <c r="A24" s="373" t="s">
        <v>354</v>
      </c>
      <c r="B24" s="373"/>
      <c r="C24" s="373"/>
      <c r="D24" s="373"/>
      <c r="E24" s="373"/>
    </row>
    <row r="25" spans="1:6" ht="15.75" hidden="1" x14ac:dyDescent="0.25">
      <c r="A25" s="373"/>
      <c r="B25" s="373"/>
      <c r="C25" s="373"/>
      <c r="D25" s="373"/>
      <c r="E25" s="373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4" t="s">
        <v>349</v>
      </c>
      <c r="B34" s="374"/>
      <c r="C34" s="374"/>
      <c r="D34" s="374"/>
      <c r="E34" s="374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5" t="s">
        <v>350</v>
      </c>
      <c r="B37" s="375"/>
      <c r="C37" s="376" t="s">
        <v>351</v>
      </c>
      <c r="D37" s="376"/>
      <c r="E37" s="172" t="s">
        <v>355</v>
      </c>
    </row>
    <row r="38" spans="1:5" hidden="1" x14ac:dyDescent="0.25">
      <c r="C38" s="372" t="s">
        <v>353</v>
      </c>
      <c r="D38" s="372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3" t="s">
        <v>337</v>
      </c>
      <c r="B49" s="373"/>
      <c r="C49" s="373"/>
      <c r="D49" s="373"/>
      <c r="E49" s="373"/>
    </row>
    <row r="50" spans="1:5" ht="15.75" x14ac:dyDescent="0.25">
      <c r="A50" s="373" t="s">
        <v>354</v>
      </c>
      <c r="B50" s="373"/>
      <c r="C50" s="373"/>
      <c r="D50" s="373"/>
      <c r="E50" s="373"/>
    </row>
    <row r="51" spans="1:5" ht="15.75" x14ac:dyDescent="0.25">
      <c r="A51" s="373"/>
      <c r="B51" s="373"/>
      <c r="C51" s="373"/>
      <c r="D51" s="373"/>
      <c r="E51" s="373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4" t="s">
        <v>349</v>
      </c>
      <c r="B60" s="374"/>
      <c r="C60" s="374"/>
      <c r="D60" s="374"/>
      <c r="E60" s="374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5"/>
      <c r="B63" s="375"/>
      <c r="C63" s="376"/>
      <c r="D63" s="376"/>
      <c r="E63" s="172"/>
    </row>
    <row r="64" spans="1:5" x14ac:dyDescent="0.25">
      <c r="C64" s="372"/>
      <c r="D64" s="372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8" sqref="B8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42" customHeight="1" x14ac:dyDescent="0.3">
      <c r="A2" s="213"/>
      <c r="B2" s="213"/>
      <c r="C2" s="331" t="s">
        <v>457</v>
      </c>
      <c r="D2" s="331"/>
      <c r="E2" s="331"/>
    </row>
    <row r="3" spans="1:8" ht="18.75" x14ac:dyDescent="0.3">
      <c r="A3" s="300"/>
      <c r="B3" s="300"/>
      <c r="C3" s="300"/>
      <c r="D3" s="300"/>
      <c r="E3" s="301"/>
    </row>
    <row r="4" spans="1:8" ht="76.5" customHeight="1" x14ac:dyDescent="0.3">
      <c r="A4" s="331" t="s">
        <v>458</v>
      </c>
      <c r="B4" s="331"/>
      <c r="C4" s="331"/>
      <c r="D4" s="331"/>
      <c r="E4" s="331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2" t="s">
        <v>160</v>
      </c>
      <c r="B6" s="322" t="s">
        <v>234</v>
      </c>
      <c r="C6" s="377" t="s">
        <v>405</v>
      </c>
      <c r="D6" s="377"/>
      <c r="E6" s="377"/>
    </row>
    <row r="7" spans="1:8" ht="63" x14ac:dyDescent="0.25">
      <c r="A7" s="324"/>
      <c r="B7" s="324"/>
      <c r="C7" s="185" t="s">
        <v>235</v>
      </c>
      <c r="D7" s="185" t="s">
        <v>221</v>
      </c>
      <c r="E7" s="298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406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2" t="s">
        <v>144</v>
      </c>
      <c r="B1" s="313"/>
      <c r="C1" s="313"/>
      <c r="D1" s="313"/>
      <c r="E1" s="313"/>
      <c r="F1" s="313"/>
      <c r="G1" s="313"/>
      <c r="H1" s="313"/>
      <c r="I1" s="27"/>
      <c r="J1" s="27"/>
      <c r="K1" s="27"/>
      <c r="L1" s="27"/>
      <c r="M1" s="28"/>
    </row>
    <row r="2" spans="1:23" x14ac:dyDescent="0.25">
      <c r="A2" s="314"/>
      <c r="B2" s="315"/>
      <c r="C2" s="315"/>
      <c r="D2" s="315"/>
      <c r="E2" s="315"/>
      <c r="F2" s="315"/>
      <c r="G2" s="315"/>
      <c r="H2" s="315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8" t="s">
        <v>177</v>
      </c>
      <c r="B1" s="318"/>
      <c r="C1" s="318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6" t="s">
        <v>176</v>
      </c>
      <c r="B21" s="317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9" t="s">
        <v>451</v>
      </c>
      <c r="D1" s="319"/>
      <c r="E1" s="319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0" t="s">
        <v>357</v>
      </c>
      <c r="B3" s="320"/>
      <c r="C3" s="320"/>
      <c r="D3" s="320"/>
      <c r="E3" s="320"/>
      <c r="F3" s="182"/>
    </row>
    <row r="4" spans="1:8" ht="54.75" customHeight="1" x14ac:dyDescent="0.3">
      <c r="A4" s="321" t="s">
        <v>452</v>
      </c>
      <c r="B4" s="321"/>
      <c r="C4" s="321"/>
      <c r="D4" s="321"/>
      <c r="E4" s="321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2" t="s">
        <v>160</v>
      </c>
      <c r="B6" s="322" t="s">
        <v>239</v>
      </c>
      <c r="C6" s="322" t="s">
        <v>240</v>
      </c>
      <c r="D6" s="325" t="s">
        <v>441</v>
      </c>
      <c r="E6" s="326"/>
    </row>
    <row r="7" spans="1:8" ht="18.600000000000001" customHeight="1" x14ac:dyDescent="0.25">
      <c r="A7" s="323"/>
      <c r="B7" s="323"/>
      <c r="C7" s="323"/>
      <c r="D7" s="322" t="s">
        <v>359</v>
      </c>
      <c r="E7" s="322" t="s">
        <v>360</v>
      </c>
    </row>
    <row r="8" spans="1:8" ht="18.600000000000001" customHeight="1" x14ac:dyDescent="0.25">
      <c r="A8" s="324"/>
      <c r="B8" s="324"/>
      <c r="C8" s="324"/>
      <c r="D8" s="324"/>
      <c r="E8" s="324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2.0699999999999998</v>
      </c>
      <c r="E10" s="187">
        <f t="shared" ref="E10:E15" si="0">D10</f>
        <v>2.0699999999999998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1</v>
      </c>
      <c r="E11" s="187">
        <f t="shared" si="0"/>
        <v>1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 t="shared" si="0"/>
        <v>0</v>
      </c>
    </row>
    <row r="13" spans="1:8" ht="31.5" x14ac:dyDescent="0.25">
      <c r="A13" s="185">
        <v>4</v>
      </c>
      <c r="B13" s="186" t="s">
        <v>442</v>
      </c>
      <c r="C13" s="185" t="s">
        <v>363</v>
      </c>
      <c r="D13" s="187">
        <v>0</v>
      </c>
      <c r="E13" s="187">
        <f t="shared" si="0"/>
        <v>0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0.24</v>
      </c>
      <c r="E14" s="187">
        <f t="shared" si="0"/>
        <v>0.24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0.05</v>
      </c>
      <c r="E15" s="81">
        <f t="shared" si="0"/>
        <v>0.05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v>15.71</v>
      </c>
      <c r="E16" s="187">
        <f>D16</f>
        <v>15.71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0.9</v>
      </c>
      <c r="E17" s="187">
        <f>D17</f>
        <v>0.9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v>14.81</v>
      </c>
      <c r="E18" s="187">
        <f>D18</f>
        <v>14.81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10.17</v>
      </c>
      <c r="E19" s="187">
        <f t="shared" ref="E19:E26" si="1">D19</f>
        <v>10.17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0</v>
      </c>
      <c r="E20" s="187">
        <f t="shared" si="1"/>
        <v>0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0.35</v>
      </c>
      <c r="E21" s="187">
        <f t="shared" si="1"/>
        <v>0.35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3.3</v>
      </c>
      <c r="E22" s="187">
        <f t="shared" si="1"/>
        <v>3.3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0</v>
      </c>
      <c r="E23" s="187">
        <f t="shared" si="1"/>
        <v>0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1</v>
      </c>
      <c r="E24" s="187">
        <f t="shared" si="1"/>
        <v>1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1"/>
        <v>0</v>
      </c>
    </row>
    <row r="26" spans="1:5" ht="31.5" x14ac:dyDescent="0.2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1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10.07</v>
      </c>
      <c r="E27" s="193">
        <v>10.07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444</v>
      </c>
      <c r="B29" s="191" t="s">
        <v>384</v>
      </c>
      <c r="C29" s="192" t="s">
        <v>383</v>
      </c>
      <c r="D29" s="190">
        <v>0.64</v>
      </c>
      <c r="E29" s="187">
        <v>0.64</v>
      </c>
    </row>
    <row r="30" spans="1:5" ht="15.75" customHeight="1" x14ac:dyDescent="0.25">
      <c r="A30" s="185" t="s">
        <v>445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446</v>
      </c>
      <c r="C31" s="191" t="s">
        <v>386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387</v>
      </c>
      <c r="C33" s="188"/>
      <c r="D33" s="187"/>
      <c r="E33" s="187"/>
    </row>
    <row r="34" spans="1:5" x14ac:dyDescent="0.25">
      <c r="A34" s="185" t="s">
        <v>447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448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7" t="s">
        <v>453</v>
      </c>
      <c r="D2" s="327"/>
      <c r="E2" s="327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8" t="s">
        <v>396</v>
      </c>
      <c r="B4" s="328"/>
      <c r="C4" s="328"/>
      <c r="D4" s="328"/>
      <c r="E4" s="328"/>
      <c r="G4" s="182"/>
    </row>
    <row r="5" spans="1:7" ht="56.25" customHeight="1" x14ac:dyDescent="0.3">
      <c r="A5" s="321" t="s">
        <v>452</v>
      </c>
      <c r="B5" s="321"/>
      <c r="C5" s="321"/>
      <c r="D5" s="321"/>
      <c r="E5" s="321"/>
    </row>
    <row r="6" spans="1:7" ht="16.5" customHeight="1" x14ac:dyDescent="0.25">
      <c r="E6" s="202" t="s">
        <v>219</v>
      </c>
    </row>
    <row r="7" spans="1:7" ht="17.25" customHeight="1" x14ac:dyDescent="0.25">
      <c r="A7" s="329" t="s">
        <v>160</v>
      </c>
      <c r="B7" s="329" t="s">
        <v>1</v>
      </c>
      <c r="C7" s="329" t="s">
        <v>449</v>
      </c>
      <c r="D7" s="329"/>
      <c r="E7" s="329"/>
    </row>
    <row r="8" spans="1:7" ht="67.5" customHeight="1" x14ac:dyDescent="0.25">
      <c r="A8" s="329"/>
      <c r="B8" s="329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231.03</v>
      </c>
      <c r="D10" s="206">
        <v>231.03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0</v>
      </c>
      <c r="D11" s="209">
        <v>0</v>
      </c>
      <c r="E11" s="206">
        <f>C11-D11</f>
        <v>0</v>
      </c>
    </row>
    <row r="12" spans="1:7" x14ac:dyDescent="0.25">
      <c r="A12" s="207">
        <v>3</v>
      </c>
      <c r="B12" s="208" t="s">
        <v>397</v>
      </c>
      <c r="C12" s="206">
        <v>59.49</v>
      </c>
      <c r="D12" s="209">
        <v>59.49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v>0</v>
      </c>
      <c r="D15" s="210">
        <v>0</v>
      </c>
      <c r="E15" s="206">
        <f t="shared" si="0"/>
        <v>0</v>
      </c>
    </row>
    <row r="16" spans="1:7" ht="31.5" x14ac:dyDescent="0.25">
      <c r="A16" s="207">
        <v>7</v>
      </c>
      <c r="B16" s="79" t="s">
        <v>400</v>
      </c>
      <c r="C16" s="206">
        <v>2.27</v>
      </c>
      <c r="D16" s="209">
        <v>2.27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292.78999999999996</v>
      </c>
      <c r="D17" s="209">
        <f>SUM(D10:D16)</f>
        <v>292.78999999999996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0" t="s">
        <v>402</v>
      </c>
      <c r="D1" s="330"/>
      <c r="E1" s="330"/>
    </row>
    <row r="2" spans="1:8" ht="18.75" x14ac:dyDescent="0.3">
      <c r="B2" s="213"/>
      <c r="C2" s="213"/>
      <c r="D2" s="213"/>
      <c r="E2" s="213"/>
    </row>
    <row r="3" spans="1:8" ht="18.75" x14ac:dyDescent="0.3">
      <c r="A3" s="331" t="s">
        <v>403</v>
      </c>
      <c r="B3" s="331"/>
      <c r="C3" s="331"/>
      <c r="D3" s="331"/>
      <c r="E3" s="331"/>
    </row>
    <row r="4" spans="1:8" ht="18.75" customHeight="1" x14ac:dyDescent="0.3">
      <c r="A4" s="321" t="s">
        <v>358</v>
      </c>
      <c r="B4" s="321"/>
      <c r="C4" s="321"/>
      <c r="D4" s="321"/>
      <c r="E4" s="321"/>
      <c r="F4" s="182" t="s">
        <v>404</v>
      </c>
      <c r="G4" s="183"/>
      <c r="H4" s="183"/>
    </row>
    <row r="5" spans="1:8" ht="18.75" x14ac:dyDescent="0.3">
      <c r="A5" s="332"/>
      <c r="B5" s="332"/>
      <c r="C5" s="332"/>
      <c r="D5" s="332"/>
      <c r="E5" s="332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2" t="s">
        <v>160</v>
      </c>
      <c r="B7" s="322" t="s">
        <v>234</v>
      </c>
      <c r="C7" s="325" t="s">
        <v>405</v>
      </c>
      <c r="D7" s="326"/>
      <c r="E7" s="322" t="s">
        <v>222</v>
      </c>
    </row>
    <row r="8" spans="1:8" ht="15.75" x14ac:dyDescent="0.25">
      <c r="A8" s="324"/>
      <c r="B8" s="324"/>
      <c r="C8" s="185" t="s">
        <v>235</v>
      </c>
      <c r="D8" s="185" t="s">
        <v>221</v>
      </c>
      <c r="E8" s="324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3" t="s">
        <v>454</v>
      </c>
      <c r="D1" s="333"/>
      <c r="E1" s="333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4" t="s">
        <v>407</v>
      </c>
      <c r="B3" s="334"/>
      <c r="C3" s="334"/>
      <c r="D3" s="334"/>
      <c r="E3" s="334"/>
      <c r="F3" s="220"/>
    </row>
    <row r="4" spans="1:6" ht="59.25" customHeight="1" x14ac:dyDescent="0.3">
      <c r="A4" s="321" t="s">
        <v>452</v>
      </c>
      <c r="B4" s="321"/>
      <c r="C4" s="321"/>
      <c r="D4" s="321"/>
      <c r="E4" s="321"/>
    </row>
    <row r="5" spans="1:6" ht="24.75" customHeight="1" x14ac:dyDescent="0.3">
      <c r="A5" s="178"/>
      <c r="B5" s="178"/>
      <c r="C5" s="178"/>
      <c r="D5" s="178"/>
      <c r="E5" s="178"/>
    </row>
    <row r="6" spans="1:6" x14ac:dyDescent="0.2">
      <c r="A6" s="335" t="s">
        <v>160</v>
      </c>
      <c r="B6" s="335" t="s">
        <v>239</v>
      </c>
      <c r="C6" s="335" t="s">
        <v>240</v>
      </c>
      <c r="D6" s="335" t="s">
        <v>408</v>
      </c>
      <c r="E6" s="335" t="s">
        <v>409</v>
      </c>
    </row>
    <row r="7" spans="1:6" ht="15" customHeight="1" x14ac:dyDescent="0.2">
      <c r="A7" s="335"/>
      <c r="B7" s="335"/>
      <c r="C7" s="335"/>
      <c r="D7" s="335"/>
      <c r="E7" s="335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99">
        <v>20.420000000000002</v>
      </c>
      <c r="E9" s="299">
        <v>20.420000000000002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99">
        <v>5.73</v>
      </c>
      <c r="E10" s="299">
        <v>5.73</v>
      </c>
    </row>
    <row r="11" spans="1:6" ht="47.25" x14ac:dyDescent="0.2">
      <c r="A11" s="221">
        <f>A10+1</f>
        <v>3</v>
      </c>
      <c r="B11" s="223" t="s">
        <v>244</v>
      </c>
      <c r="C11" s="221" t="s">
        <v>245</v>
      </c>
      <c r="D11" s="299">
        <v>0</v>
      </c>
      <c r="E11" s="299">
        <v>0</v>
      </c>
    </row>
    <row r="12" spans="1:6" ht="31.5" x14ac:dyDescent="0.2">
      <c r="A12" s="221">
        <f>A11+1</f>
        <v>4</v>
      </c>
      <c r="B12" s="223" t="s">
        <v>246</v>
      </c>
      <c r="C12" s="221" t="s">
        <v>247</v>
      </c>
      <c r="D12" s="299">
        <v>8784</v>
      </c>
      <c r="E12" s="299">
        <v>8760</v>
      </c>
    </row>
    <row r="13" spans="1:6" ht="15.75" x14ac:dyDescent="0.2">
      <c r="A13" s="221">
        <f>A12+1</f>
        <v>5</v>
      </c>
      <c r="B13" s="222" t="s">
        <v>410</v>
      </c>
      <c r="C13" s="221" t="s">
        <v>411</v>
      </c>
      <c r="D13" s="299"/>
      <c r="E13" s="224"/>
    </row>
    <row r="14" spans="1:6" ht="15.75" x14ac:dyDescent="0.2">
      <c r="A14" s="221">
        <f>A13+1</f>
        <v>6</v>
      </c>
      <c r="B14" s="223" t="s">
        <v>412</v>
      </c>
      <c r="C14" s="221" t="s">
        <v>411</v>
      </c>
      <c r="D14" s="299">
        <v>0.64</v>
      </c>
      <c r="E14" s="224">
        <v>0.64</v>
      </c>
    </row>
    <row r="15" spans="1:6" ht="15.75" customHeight="1" x14ac:dyDescent="0.2">
      <c r="A15" s="221">
        <v>7</v>
      </c>
      <c r="B15" s="223" t="s">
        <v>413</v>
      </c>
      <c r="C15" s="221" t="s">
        <v>411</v>
      </c>
      <c r="D15" s="299">
        <v>0</v>
      </c>
      <c r="E15" s="224">
        <v>0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223"/>
      <c r="E16" s="221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5"/>
      <c r="B1" s="320" t="s">
        <v>414</v>
      </c>
      <c r="C1" s="320"/>
      <c r="D1" s="320"/>
      <c r="E1" s="320"/>
      <c r="F1" s="320"/>
      <c r="G1" s="320"/>
      <c r="H1" s="320"/>
      <c r="I1" s="226"/>
      <c r="J1" s="226"/>
      <c r="L1" s="227" t="s">
        <v>415</v>
      </c>
      <c r="M1" s="227"/>
      <c r="N1" s="227"/>
    </row>
    <row r="2" spans="1:14" ht="18.75" hidden="1" x14ac:dyDescent="0.3">
      <c r="A2" s="225"/>
      <c r="B2" s="225"/>
      <c r="C2" s="225"/>
      <c r="D2" s="225"/>
      <c r="E2" s="228"/>
      <c r="F2" s="225"/>
      <c r="G2" s="225"/>
      <c r="H2" s="225"/>
    </row>
    <row r="3" spans="1:14" ht="48" customHeight="1" x14ac:dyDescent="0.25">
      <c r="A3" s="320" t="s">
        <v>416</v>
      </c>
      <c r="B3" s="320"/>
      <c r="C3" s="320"/>
      <c r="D3" s="320"/>
      <c r="E3" s="320"/>
      <c r="F3" s="320"/>
      <c r="G3" s="320"/>
      <c r="H3" s="320"/>
    </row>
    <row r="4" spans="1:14" ht="18.75" x14ac:dyDescent="0.3">
      <c r="A4" s="336" t="s">
        <v>417</v>
      </c>
      <c r="B4" s="336"/>
      <c r="C4" s="336"/>
      <c r="D4" s="336"/>
      <c r="E4" s="336"/>
      <c r="F4" s="336"/>
      <c r="G4" s="336"/>
      <c r="H4" s="336"/>
    </row>
    <row r="5" spans="1:14" ht="18.75" x14ac:dyDescent="0.3">
      <c r="A5" s="336" t="s">
        <v>418</v>
      </c>
      <c r="B5" s="336"/>
      <c r="C5" s="336"/>
      <c r="D5" s="336"/>
      <c r="E5" s="336"/>
      <c r="F5" s="336"/>
      <c r="G5" s="336"/>
      <c r="H5" s="179"/>
    </row>
    <row r="6" spans="1:14" ht="19.5" thickBot="1" x14ac:dyDescent="0.35">
      <c r="B6" s="179"/>
      <c r="C6" s="179"/>
      <c r="D6" s="179"/>
      <c r="E6" s="179"/>
      <c r="F6" s="179"/>
      <c r="H6" s="229" t="s">
        <v>219</v>
      </c>
    </row>
    <row r="7" spans="1:14" ht="84.6" customHeight="1" x14ac:dyDescent="0.25">
      <c r="A7" s="339" t="s">
        <v>160</v>
      </c>
      <c r="B7" s="341" t="s">
        <v>1</v>
      </c>
      <c r="C7" s="337" t="s">
        <v>419</v>
      </c>
      <c r="D7" s="337" t="s">
        <v>420</v>
      </c>
      <c r="E7" s="337" t="s">
        <v>251</v>
      </c>
      <c r="F7" s="337" t="s">
        <v>421</v>
      </c>
      <c r="G7" s="337" t="s">
        <v>422</v>
      </c>
      <c r="H7" s="337" t="s">
        <v>423</v>
      </c>
      <c r="I7" s="230" t="s">
        <v>424</v>
      </c>
      <c r="J7" s="231" t="s">
        <v>425</v>
      </c>
      <c r="K7" s="232" t="s">
        <v>426</v>
      </c>
    </row>
    <row r="8" spans="1:14" ht="16.899999999999999" customHeight="1" x14ac:dyDescent="0.25">
      <c r="A8" s="340"/>
      <c r="B8" s="342"/>
      <c r="C8" s="338"/>
      <c r="D8" s="338"/>
      <c r="E8" s="338"/>
      <c r="F8" s="338"/>
      <c r="G8" s="338"/>
      <c r="H8" s="338"/>
      <c r="I8" s="233"/>
      <c r="J8" s="234"/>
      <c r="K8" s="235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6"/>
      <c r="F9" s="237"/>
      <c r="G9" s="71">
        <v>5</v>
      </c>
      <c r="H9" s="238">
        <v>6</v>
      </c>
      <c r="I9" s="239" t="e">
        <f>I10+I11+I24+I25+I30+I32+I33+I41</f>
        <v>#REF!</v>
      </c>
      <c r="J9" s="71" t="e">
        <f>J10+J11+J24+J25+J30+J32+J33+J41</f>
        <v>#REF!</v>
      </c>
      <c r="K9" s="240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1" t="e">
        <f>G10/D10</f>
        <v>#DIV/0!</v>
      </c>
      <c r="I10" s="242"/>
      <c r="J10" s="71"/>
      <c r="K10" s="240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3"/>
      <c r="F11" s="71"/>
      <c r="G11" s="6"/>
      <c r="H11" s="241" t="e">
        <f t="shared" ref="H11:H74" si="0">G11/D11</f>
        <v>#DIV/0!</v>
      </c>
      <c r="I11" s="239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3"/>
      <c r="F12" s="71"/>
      <c r="G12" s="6"/>
      <c r="H12" s="241" t="e">
        <f t="shared" si="0"/>
        <v>#DIV/0!</v>
      </c>
      <c r="I12" s="239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4"/>
      <c r="F13" s="6"/>
      <c r="G13" s="71"/>
      <c r="H13" s="241" t="e">
        <f t="shared" si="0"/>
        <v>#DIV/0!</v>
      </c>
      <c r="I13" s="242">
        <f>ROUND(I14*I15,2)</f>
        <v>548.03</v>
      </c>
      <c r="J13" s="71">
        <f>ROUND(J14*J15,2)</f>
        <v>821.28</v>
      </c>
      <c r="K13" s="240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5"/>
      <c r="E14" s="243"/>
      <c r="F14" s="71"/>
      <c r="G14" s="71"/>
      <c r="H14" s="241" t="e">
        <f t="shared" si="0"/>
        <v>#DIV/0!</v>
      </c>
      <c r="I14" s="246">
        <f>294.78-3.43</f>
        <v>291.34999999999997</v>
      </c>
      <c r="J14" s="66">
        <f>442.18-5.56</f>
        <v>436.62</v>
      </c>
      <c r="K14" s="247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3"/>
      <c r="F15" s="71"/>
      <c r="G15" s="71"/>
      <c r="H15" s="241" t="e">
        <f t="shared" si="0"/>
        <v>#DIV/0!</v>
      </c>
      <c r="I15" s="246">
        <f>1.511+0.37</f>
        <v>1.8809999999999998</v>
      </c>
      <c r="J15" s="66">
        <f>1.511+0.37</f>
        <v>1.8809999999999998</v>
      </c>
      <c r="K15" s="248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3"/>
      <c r="F16" s="71"/>
      <c r="G16" s="193"/>
      <c r="H16" s="241" t="e">
        <f t="shared" si="0"/>
        <v>#DIV/0!</v>
      </c>
      <c r="I16" s="242"/>
      <c r="J16" s="71"/>
      <c r="K16" s="240"/>
    </row>
    <row r="17" spans="1:11" s="9" customFormat="1" ht="16.149999999999999" hidden="1" customHeight="1" x14ac:dyDescent="0.2">
      <c r="A17" s="71" t="s">
        <v>16</v>
      </c>
      <c r="B17" s="21" t="s">
        <v>427</v>
      </c>
      <c r="C17" s="21"/>
      <c r="D17" s="6"/>
      <c r="E17" s="243"/>
      <c r="F17" s="71"/>
      <c r="G17" s="71"/>
      <c r="H17" s="241" t="e">
        <f t="shared" si="0"/>
        <v>#DIV/0!</v>
      </c>
      <c r="I17" s="246"/>
      <c r="J17" s="66"/>
      <c r="K17" s="247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3"/>
      <c r="F18" s="71"/>
      <c r="G18" s="71"/>
      <c r="H18" s="241" t="e">
        <f t="shared" si="0"/>
        <v>#DIV/0!</v>
      </c>
      <c r="I18" s="246"/>
      <c r="J18" s="66"/>
      <c r="K18" s="247"/>
    </row>
    <row r="19" spans="1:11" ht="19.899999999999999" hidden="1" customHeight="1" x14ac:dyDescent="0.25">
      <c r="A19" s="71"/>
      <c r="B19" s="5" t="s">
        <v>15</v>
      </c>
      <c r="C19" s="5"/>
      <c r="D19" s="71"/>
      <c r="E19" s="243"/>
      <c r="F19" s="71"/>
      <c r="G19" s="71"/>
      <c r="H19" s="241" t="e">
        <f t="shared" si="0"/>
        <v>#DIV/0!</v>
      </c>
      <c r="I19" s="242"/>
      <c r="J19" s="71"/>
      <c r="K19" s="240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3"/>
      <c r="F20" s="71"/>
      <c r="G20" s="71"/>
      <c r="H20" s="241" t="e">
        <f t="shared" si="0"/>
        <v>#DIV/0!</v>
      </c>
      <c r="I20" s="242"/>
      <c r="J20" s="71"/>
      <c r="K20" s="240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3"/>
      <c r="F21" s="71"/>
      <c r="G21" s="6"/>
      <c r="H21" s="241" t="e">
        <f t="shared" si="0"/>
        <v>#DIV/0!</v>
      </c>
      <c r="I21" s="239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428</v>
      </c>
      <c r="C22" s="5"/>
      <c r="D22" s="6"/>
      <c r="E22" s="6"/>
      <c r="F22" s="6"/>
      <c r="G22" s="71"/>
      <c r="H22" s="241" t="e">
        <f t="shared" si="0"/>
        <v>#DIV/0!</v>
      </c>
      <c r="I22" s="246">
        <v>124.86</v>
      </c>
      <c r="J22" s="66">
        <v>187.27</v>
      </c>
      <c r="K22" s="247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3"/>
      <c r="F23" s="71"/>
      <c r="G23" s="71"/>
      <c r="H23" s="241" t="e">
        <f t="shared" si="0"/>
        <v>#DIV/0!</v>
      </c>
      <c r="I23" s="246">
        <v>15.24</v>
      </c>
      <c r="J23" s="66">
        <v>15.24</v>
      </c>
      <c r="K23" s="247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3"/>
      <c r="F24" s="71"/>
      <c r="G24" s="6"/>
      <c r="H24" s="241" t="e">
        <f t="shared" si="0"/>
        <v>#DIV/0!</v>
      </c>
      <c r="I24" s="242"/>
      <c r="J24" s="71"/>
      <c r="K24" s="240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3"/>
      <c r="F25" s="71"/>
      <c r="G25" s="6"/>
      <c r="H25" s="241" t="e">
        <f t="shared" si="0"/>
        <v>#DIV/0!</v>
      </c>
      <c r="I25" s="242" t="e">
        <f>ROUND((#REF!/10*4)/1000,2)</f>
        <v>#REF!</v>
      </c>
      <c r="J25" s="71" t="e">
        <f>ROUND((#REF!/10*6)/1000,2)</f>
        <v>#REF!</v>
      </c>
      <c r="K25" s="240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3"/>
      <c r="F26" s="71"/>
      <c r="G26" s="71"/>
      <c r="H26" s="241" t="e">
        <f t="shared" si="0"/>
        <v>#DIV/0!</v>
      </c>
      <c r="I26" s="246">
        <v>2.4</v>
      </c>
      <c r="J26" s="66">
        <v>2.4</v>
      </c>
      <c r="K26" s="247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3"/>
      <c r="F27" s="71"/>
      <c r="G27" s="71"/>
      <c r="H27" s="241" t="e">
        <f t="shared" si="0"/>
        <v>#DIV/0!</v>
      </c>
      <c r="I27" s="246"/>
      <c r="J27" s="66"/>
      <c r="K27" s="247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3"/>
      <c r="F28" s="71"/>
      <c r="G28" s="71"/>
      <c r="H28" s="241" t="e">
        <f t="shared" si="0"/>
        <v>#DIV/0!</v>
      </c>
      <c r="I28" s="246"/>
      <c r="J28" s="66"/>
      <c r="K28" s="247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3"/>
      <c r="F29" s="71"/>
      <c r="G29" s="176"/>
      <c r="H29" s="241" t="e">
        <f t="shared" si="0"/>
        <v>#DIV/0!</v>
      </c>
      <c r="I29" s="249" t="e">
        <f>ROUND(I25/I26/4*1000,2)</f>
        <v>#REF!</v>
      </c>
      <c r="J29" s="109" t="e">
        <f>ROUND(J25/J26/6*1000,2)</f>
        <v>#REF!</v>
      </c>
      <c r="K29" s="250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1" t="e">
        <f t="shared" si="0"/>
        <v>#DIV/0!</v>
      </c>
      <c r="I30" s="242" t="e">
        <f>ROUND(I25*0.305,2)</f>
        <v>#REF!</v>
      </c>
      <c r="J30" s="71" t="e">
        <f>ROUND(J25*0.305,2)</f>
        <v>#REF!</v>
      </c>
      <c r="K30" s="240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1" t="e">
        <f t="shared" si="0"/>
        <v>#DIV/0!</v>
      </c>
      <c r="I31" s="242">
        <v>30.5</v>
      </c>
      <c r="J31" s="71">
        <v>30.5</v>
      </c>
      <c r="K31" s="240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1" t="e">
        <f t="shared" si="0"/>
        <v>#DIV/0!</v>
      </c>
      <c r="I32" s="242"/>
      <c r="J32" s="71"/>
      <c r="K32" s="240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4"/>
      <c r="F33" s="6"/>
      <c r="G33" s="6"/>
      <c r="H33" s="241" t="e">
        <f t="shared" si="0"/>
        <v>#DIV/0!</v>
      </c>
      <c r="I33" s="239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1" t="e">
        <f t="shared" si="0"/>
        <v>#DIV/0!</v>
      </c>
      <c r="I34" s="242" t="e">
        <f>ROUND((#REF!/10*4)/1000,2)</f>
        <v>#REF!</v>
      </c>
      <c r="J34" s="71" t="e">
        <f>ROUND((#REF!/10*6)/1000,2)</f>
        <v>#REF!</v>
      </c>
      <c r="K34" s="240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4"/>
      <c r="F35" s="6"/>
      <c r="G35" s="6"/>
      <c r="H35" s="241" t="e">
        <f t="shared" si="0"/>
        <v>#DIV/0!</v>
      </c>
      <c r="I35" s="242">
        <v>0.5</v>
      </c>
      <c r="J35" s="71">
        <v>0.5</v>
      </c>
      <c r="K35" s="240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4"/>
      <c r="F36" s="6"/>
      <c r="G36" s="71"/>
      <c r="H36" s="241" t="e">
        <f t="shared" si="0"/>
        <v>#DIV/0!</v>
      </c>
      <c r="I36" s="242"/>
      <c r="J36" s="71"/>
      <c r="K36" s="240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3"/>
      <c r="F37" s="71"/>
      <c r="G37" s="17"/>
      <c r="H37" s="241" t="e">
        <f t="shared" si="0"/>
        <v>#DIV/0!</v>
      </c>
      <c r="I37" s="251" t="e">
        <f>I34/I35/4*1000</f>
        <v>#REF!</v>
      </c>
      <c r="J37" s="17" t="e">
        <f>J34/J35/6*1000</f>
        <v>#REF!</v>
      </c>
      <c r="K37" s="252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1" t="e">
        <f t="shared" si="0"/>
        <v>#DIV/0!</v>
      </c>
      <c r="I38" s="239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1" t="e">
        <f t="shared" si="0"/>
        <v>#DIV/0!</v>
      </c>
      <c r="I39" s="242"/>
      <c r="J39" s="71"/>
      <c r="K39" s="240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4"/>
      <c r="F40" s="6"/>
      <c r="G40" s="6"/>
      <c r="H40" s="241" t="e">
        <f t="shared" si="0"/>
        <v>#DIV/0!</v>
      </c>
      <c r="I40" s="242"/>
      <c r="J40" s="71"/>
      <c r="K40" s="240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4"/>
      <c r="F41" s="6"/>
      <c r="G41" s="6"/>
      <c r="H41" s="241" t="e">
        <f t="shared" si="0"/>
        <v>#DIV/0!</v>
      </c>
      <c r="I41" s="242"/>
      <c r="J41" s="71"/>
      <c r="K41" s="240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4"/>
      <c r="F42" s="6"/>
      <c r="G42" s="6"/>
      <c r="H42" s="241" t="e">
        <f t="shared" si="0"/>
        <v>#DIV/0!</v>
      </c>
      <c r="I42" s="242" t="e">
        <f>I43++I48+I49+I53</f>
        <v>#REF!</v>
      </c>
      <c r="J42" s="71" t="e">
        <f>J43++J48+J49+J53</f>
        <v>#REF!</v>
      </c>
      <c r="K42" s="240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1" t="e">
        <f t="shared" si="0"/>
        <v>#DIV/0!</v>
      </c>
      <c r="I43" s="242">
        <f>I44+I45+I46+I47</f>
        <v>0</v>
      </c>
      <c r="J43" s="71">
        <f>J44+J45+J46+J47</f>
        <v>0</v>
      </c>
      <c r="K43" s="240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1" t="e">
        <f t="shared" si="0"/>
        <v>#DIV/0!</v>
      </c>
      <c r="I44" s="242">
        <f>75.82-75.82</f>
        <v>0</v>
      </c>
      <c r="J44" s="71">
        <f>113.73-113.73</f>
        <v>0</v>
      </c>
      <c r="K44" s="240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4"/>
      <c r="F45" s="6"/>
      <c r="G45" s="6"/>
      <c r="H45" s="241" t="e">
        <f t="shared" si="0"/>
        <v>#DIV/0!</v>
      </c>
      <c r="I45" s="242"/>
      <c r="J45" s="71"/>
      <c r="K45" s="240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4"/>
      <c r="F46" s="6"/>
      <c r="G46" s="6"/>
      <c r="H46" s="241" t="e">
        <f t="shared" si="0"/>
        <v>#DIV/0!</v>
      </c>
      <c r="I46" s="242"/>
      <c r="J46" s="71"/>
      <c r="K46" s="240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4"/>
      <c r="F47" s="6"/>
      <c r="G47" s="6"/>
      <c r="H47" s="241" t="e">
        <f t="shared" si="0"/>
        <v>#DIV/0!</v>
      </c>
      <c r="I47" s="242"/>
      <c r="J47" s="71"/>
      <c r="K47" s="240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4"/>
      <c r="F48" s="6"/>
      <c r="G48" s="6"/>
      <c r="H48" s="241" t="e">
        <f t="shared" si="0"/>
        <v>#DIV/0!</v>
      </c>
      <c r="I48" s="242"/>
      <c r="J48" s="71"/>
      <c r="K48" s="240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4"/>
      <c r="F49" s="6"/>
      <c r="G49" s="6"/>
      <c r="H49" s="241" t="e">
        <f t="shared" si="0"/>
        <v>#DIV/0!</v>
      </c>
      <c r="I49" s="242" t="e">
        <f>ROUND((#REF!/10*4/1000),2)</f>
        <v>#REF!</v>
      </c>
      <c r="J49" s="71" t="e">
        <f>ROUND((#REF!/10*6)/1000,2)</f>
        <v>#REF!</v>
      </c>
      <c r="K49" s="240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3"/>
      <c r="F50" s="71"/>
      <c r="G50" s="71"/>
      <c r="H50" s="241" t="e">
        <f t="shared" si="0"/>
        <v>#DIV/0!</v>
      </c>
      <c r="I50" s="246">
        <v>4.3</v>
      </c>
      <c r="J50" s="66">
        <v>4.3</v>
      </c>
      <c r="K50" s="247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1" t="e">
        <f t="shared" si="0"/>
        <v>#DIV/0!</v>
      </c>
      <c r="I51" s="246"/>
      <c r="J51" s="66"/>
      <c r="K51" s="247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3"/>
      <c r="F52" s="71"/>
      <c r="G52" s="17"/>
      <c r="H52" s="241" t="e">
        <f t="shared" si="0"/>
        <v>#DIV/0!</v>
      </c>
      <c r="I52" s="253" t="e">
        <f>I49/I50/4*1000</f>
        <v>#REF!</v>
      </c>
      <c r="J52" s="111" t="e">
        <f>J49/J50/6*1000</f>
        <v>#REF!</v>
      </c>
      <c r="K52" s="254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1" t="e">
        <f t="shared" si="0"/>
        <v>#DIV/0!</v>
      </c>
      <c r="I53" s="242" t="e">
        <f>ROUND(I49*0.305,2)</f>
        <v>#REF!</v>
      </c>
      <c r="J53" s="71" t="e">
        <f>ROUND(J49*0.305,2)</f>
        <v>#REF!</v>
      </c>
      <c r="K53" s="240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1" t="e">
        <f t="shared" si="0"/>
        <v>#DIV/0!</v>
      </c>
      <c r="I54" s="242">
        <f>I55+I56+I58+I59+I60+I61+I62+I63+I64+I65+I66+I67</f>
        <v>-48.02</v>
      </c>
      <c r="J54" s="71">
        <f>J55+J56+J58+J59+J60+J61+J62+J63+J64+J65+J66+J67</f>
        <v>0</v>
      </c>
      <c r="K54" s="240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1" t="e">
        <f t="shared" si="0"/>
        <v>#DIV/0!</v>
      </c>
      <c r="I55" s="242"/>
      <c r="J55" s="71"/>
      <c r="K55" s="240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3"/>
      <c r="F56" s="71"/>
      <c r="G56" s="6"/>
      <c r="H56" s="241" t="e">
        <f t="shared" si="0"/>
        <v>#DIV/0!</v>
      </c>
      <c r="I56" s="242"/>
      <c r="J56" s="71"/>
      <c r="K56" s="240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3"/>
      <c r="F57" s="71"/>
      <c r="G57" s="6"/>
      <c r="H57" s="241" t="e">
        <f t="shared" si="0"/>
        <v>#DIV/0!</v>
      </c>
      <c r="I57" s="246"/>
      <c r="J57" s="66"/>
      <c r="K57" s="247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3"/>
      <c r="F58" s="71"/>
      <c r="G58" s="6"/>
      <c r="H58" s="241" t="e">
        <f t="shared" si="0"/>
        <v>#DIV/0!</v>
      </c>
      <c r="I58" s="242"/>
      <c r="J58" s="71"/>
      <c r="K58" s="240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3"/>
      <c r="F59" s="71"/>
      <c r="G59" s="6"/>
      <c r="H59" s="241" t="e">
        <f t="shared" si="0"/>
        <v>#DIV/0!</v>
      </c>
      <c r="I59" s="242"/>
      <c r="J59" s="71"/>
      <c r="K59" s="240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3"/>
      <c r="F60" s="71"/>
      <c r="G60" s="6"/>
      <c r="H60" s="241" t="e">
        <f t="shared" si="0"/>
        <v>#DIV/0!</v>
      </c>
      <c r="I60" s="242"/>
      <c r="J60" s="71"/>
      <c r="K60" s="240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3"/>
      <c r="F61" s="71"/>
      <c r="G61" s="6"/>
      <c r="H61" s="241" t="e">
        <f t="shared" si="0"/>
        <v>#DIV/0!</v>
      </c>
      <c r="I61" s="242">
        <f>ROUND(D62/16*4,2)-48.02</f>
        <v>-48.02</v>
      </c>
      <c r="J61" s="71">
        <f>72.03-72.03</f>
        <v>0</v>
      </c>
      <c r="K61" s="240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3"/>
      <c r="F62" s="71"/>
      <c r="G62" s="6"/>
      <c r="H62" s="241" t="e">
        <f t="shared" si="0"/>
        <v>#DIV/0!</v>
      </c>
      <c r="I62" s="242"/>
      <c r="J62" s="71"/>
      <c r="K62" s="240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3"/>
      <c r="F63" s="71"/>
      <c r="G63" s="6"/>
      <c r="H63" s="241" t="e">
        <f t="shared" si="0"/>
        <v>#DIV/0!</v>
      </c>
      <c r="I63" s="242"/>
      <c r="J63" s="71"/>
      <c r="K63" s="240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3"/>
      <c r="F64" s="71"/>
      <c r="G64" s="6"/>
      <c r="H64" s="241" t="e">
        <f t="shared" si="0"/>
        <v>#DIV/0!</v>
      </c>
      <c r="I64" s="242"/>
      <c r="J64" s="71"/>
      <c r="K64" s="240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3"/>
      <c r="F65" s="71"/>
      <c r="G65" s="6"/>
      <c r="H65" s="241" t="e">
        <f t="shared" si="0"/>
        <v>#DIV/0!</v>
      </c>
      <c r="I65" s="242"/>
      <c r="J65" s="71"/>
      <c r="K65" s="240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3"/>
      <c r="F66" s="71"/>
      <c r="G66" s="6"/>
      <c r="H66" s="241" t="e">
        <f t="shared" si="0"/>
        <v>#DIV/0!</v>
      </c>
      <c r="I66" s="242"/>
      <c r="J66" s="71"/>
      <c r="K66" s="240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3"/>
      <c r="F67" s="71"/>
      <c r="G67" s="6"/>
      <c r="H67" s="241" t="e">
        <f t="shared" si="0"/>
        <v>#DIV/0!</v>
      </c>
      <c r="I67" s="242">
        <v>0</v>
      </c>
      <c r="J67" s="71">
        <v>0</v>
      </c>
      <c r="K67" s="240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3"/>
      <c r="F68" s="71"/>
      <c r="G68" s="6"/>
      <c r="H68" s="241" t="e">
        <f t="shared" si="0"/>
        <v>#DIV/0!</v>
      </c>
      <c r="I68" s="242"/>
      <c r="J68" s="71"/>
      <c r="K68" s="240"/>
    </row>
    <row r="69" spans="1:11" ht="31.5" x14ac:dyDescent="0.25">
      <c r="A69" s="71" t="s">
        <v>102</v>
      </c>
      <c r="B69" s="5" t="s">
        <v>103</v>
      </c>
      <c r="C69" s="5"/>
      <c r="D69" s="6"/>
      <c r="E69" s="243"/>
      <c r="F69" s="71"/>
      <c r="G69" s="6"/>
      <c r="H69" s="241" t="e">
        <f t="shared" si="0"/>
        <v>#DIV/0!</v>
      </c>
      <c r="I69" s="242"/>
      <c r="J69" s="71"/>
      <c r="K69" s="240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3"/>
      <c r="F70" s="71"/>
      <c r="G70" s="6"/>
      <c r="H70" s="241" t="e">
        <f t="shared" si="0"/>
        <v>#DIV/0!</v>
      </c>
      <c r="I70" s="242"/>
      <c r="J70" s="71"/>
      <c r="K70" s="240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3"/>
      <c r="F71" s="71"/>
      <c r="G71" s="6"/>
      <c r="H71" s="241" t="e">
        <f t="shared" si="0"/>
        <v>#DIV/0!</v>
      </c>
      <c r="I71" s="246"/>
      <c r="J71" s="66"/>
      <c r="K71" s="247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3"/>
      <c r="F72" s="71"/>
      <c r="G72" s="6"/>
      <c r="H72" s="241" t="e">
        <f t="shared" si="0"/>
        <v>#DIV/0!</v>
      </c>
      <c r="I72" s="242"/>
      <c r="J72" s="71"/>
      <c r="K72" s="240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3"/>
      <c r="F73" s="71"/>
      <c r="G73" s="6"/>
      <c r="H73" s="241" t="e">
        <f t="shared" si="0"/>
        <v>#DIV/0!</v>
      </c>
      <c r="I73" s="242"/>
      <c r="J73" s="71"/>
      <c r="K73" s="240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3"/>
      <c r="F74" s="71"/>
      <c r="G74" s="6"/>
      <c r="H74" s="241" t="e">
        <f t="shared" si="0"/>
        <v>#DIV/0!</v>
      </c>
      <c r="I74" s="242">
        <f>ROUND(D75/16*4,2)-64.54</f>
        <v>-64.540000000000006</v>
      </c>
      <c r="J74" s="71">
        <f>96.81-96.81</f>
        <v>0</v>
      </c>
      <c r="K74" s="240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3"/>
      <c r="F75" s="71"/>
      <c r="G75" s="6"/>
      <c r="H75" s="241" t="e">
        <f t="shared" ref="H75:H93" si="1">G75/D75</f>
        <v>#DIV/0!</v>
      </c>
      <c r="I75" s="242"/>
      <c r="J75" s="71"/>
      <c r="K75" s="240"/>
    </row>
    <row r="76" spans="1:11" ht="31.5" x14ac:dyDescent="0.25">
      <c r="A76" s="71" t="s">
        <v>229</v>
      </c>
      <c r="B76" s="5" t="s">
        <v>114</v>
      </c>
      <c r="C76" s="5"/>
      <c r="D76" s="6"/>
      <c r="E76" s="243"/>
      <c r="F76" s="71"/>
      <c r="G76" s="6"/>
      <c r="H76" s="241" t="e">
        <f t="shared" si="1"/>
        <v>#DIV/0!</v>
      </c>
      <c r="I76" s="242"/>
      <c r="J76" s="71"/>
      <c r="K76" s="240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3"/>
      <c r="F77" s="71"/>
      <c r="G77" s="6"/>
      <c r="H77" s="241" t="e">
        <f t="shared" si="1"/>
        <v>#DIV/0!</v>
      </c>
      <c r="I77" s="242"/>
      <c r="J77" s="71"/>
      <c r="K77" s="240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3"/>
      <c r="F78" s="71"/>
      <c r="G78" s="6"/>
      <c r="H78" s="241" t="e">
        <f t="shared" si="1"/>
        <v>#DIV/0!</v>
      </c>
      <c r="I78" s="242"/>
      <c r="J78" s="71"/>
      <c r="K78" s="240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3"/>
      <c r="F79" s="71"/>
      <c r="G79" s="6"/>
      <c r="H79" s="241" t="e">
        <f t="shared" si="1"/>
        <v>#DIV/0!</v>
      </c>
      <c r="I79" s="242">
        <f>I80+I81+I82</f>
        <v>-32.909999999999997</v>
      </c>
      <c r="J79" s="71">
        <f>J80+J81+J82</f>
        <v>0</v>
      </c>
      <c r="K79" s="240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1" t="e">
        <f t="shared" si="1"/>
        <v>#DIV/0!</v>
      </c>
      <c r="I80" s="242"/>
      <c r="J80" s="71"/>
      <c r="K80" s="240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3"/>
      <c r="F81" s="71"/>
      <c r="G81" s="6"/>
      <c r="H81" s="241" t="e">
        <f t="shared" si="1"/>
        <v>#DIV/0!</v>
      </c>
      <c r="I81" s="242"/>
      <c r="J81" s="71"/>
      <c r="K81" s="240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3"/>
      <c r="F82" s="71"/>
      <c r="G82" s="6"/>
      <c r="H82" s="241" t="e">
        <f t="shared" si="1"/>
        <v>#DIV/0!</v>
      </c>
      <c r="I82" s="242">
        <f>ROUND(D83/16*4,2)-32.91</f>
        <v>-32.909999999999997</v>
      </c>
      <c r="J82" s="71">
        <f>49.37-49.37</f>
        <v>0</v>
      </c>
      <c r="K82" s="240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3"/>
      <c r="F83" s="71"/>
      <c r="G83" s="6"/>
      <c r="H83" s="241" t="e">
        <f t="shared" si="1"/>
        <v>#DIV/0!</v>
      </c>
      <c r="I83" s="255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1" t="e">
        <f t="shared" si="1"/>
        <v>#DIV/0!</v>
      </c>
      <c r="I84" s="255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1" t="e">
        <f t="shared" si="1"/>
        <v>#DIV/0!</v>
      </c>
      <c r="I85" s="242">
        <f>I86+I87+I88+I89+I90</f>
        <v>3.7199999999999998</v>
      </c>
      <c r="J85" s="71">
        <f>J86+J87+J88+J89+J90</f>
        <v>6.1099999999999994</v>
      </c>
      <c r="K85" s="240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1" t="e">
        <f t="shared" si="1"/>
        <v>#DIV/0!</v>
      </c>
      <c r="I86" s="242"/>
      <c r="J86" s="71"/>
      <c r="K86" s="240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1" t="e">
        <f t="shared" si="1"/>
        <v>#DIV/0!</v>
      </c>
      <c r="I87" s="242"/>
      <c r="J87" s="71"/>
      <c r="K87" s="240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1" t="e">
        <f t="shared" si="1"/>
        <v>#DIV/0!</v>
      </c>
      <c r="I88" s="242">
        <v>3</v>
      </c>
      <c r="J88" s="71">
        <v>4.93</v>
      </c>
      <c r="K88" s="240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3"/>
      <c r="F89" s="71"/>
      <c r="G89" s="71"/>
      <c r="H89" s="241" t="e">
        <f t="shared" si="1"/>
        <v>#DIV/0!</v>
      </c>
      <c r="I89" s="242"/>
      <c r="J89" s="71"/>
      <c r="K89" s="240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3"/>
      <c r="F90" s="71"/>
      <c r="G90" s="71"/>
      <c r="H90" s="241" t="e">
        <f t="shared" si="1"/>
        <v>#DIV/0!</v>
      </c>
      <c r="I90" s="242">
        <f>I91</f>
        <v>0.72</v>
      </c>
      <c r="J90" s="71">
        <f>J91</f>
        <v>1.18</v>
      </c>
      <c r="K90" s="240">
        <f>K91</f>
        <v>1.18</v>
      </c>
    </row>
    <row r="91" spans="1:11" ht="15.75" hidden="1" x14ac:dyDescent="0.25">
      <c r="A91" s="256" t="s">
        <v>195</v>
      </c>
      <c r="B91" s="70" t="s">
        <v>231</v>
      </c>
      <c r="C91" s="70"/>
      <c r="D91" s="71"/>
      <c r="E91" s="71"/>
      <c r="F91" s="71"/>
      <c r="G91" s="71"/>
      <c r="H91" s="241" t="e">
        <f t="shared" si="1"/>
        <v>#DIV/0!</v>
      </c>
      <c r="I91" s="242">
        <f>ROUND(I88*0.24,2)</f>
        <v>0.72</v>
      </c>
      <c r="J91" s="71">
        <f>ROUND(J88*0.24,2)</f>
        <v>1.18</v>
      </c>
      <c r="K91" s="240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3"/>
      <c r="F92" s="71"/>
      <c r="G92" s="6"/>
      <c r="H92" s="241" t="e">
        <f t="shared" si="1"/>
        <v>#DIV/0!</v>
      </c>
      <c r="I92" s="255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1" t="e">
        <f t="shared" si="1"/>
        <v>#DIV/0!</v>
      </c>
      <c r="I93" s="257">
        <v>124.86</v>
      </c>
      <c r="J93" s="67">
        <v>187.27</v>
      </c>
      <c r="K93" s="258">
        <v>187.27</v>
      </c>
    </row>
    <row r="94" spans="1:11" ht="31.5" hidden="1" x14ac:dyDescent="0.25">
      <c r="A94" s="259">
        <v>11</v>
      </c>
      <c r="B94" s="24" t="s">
        <v>136</v>
      </c>
      <c r="C94" s="24"/>
      <c r="D94" s="67">
        <v>499.4</v>
      </c>
      <c r="E94" s="260"/>
      <c r="F94" s="67"/>
      <c r="G94" s="6"/>
      <c r="H94" s="6" t="e">
        <f>D95-#REF!</f>
        <v>#REF!</v>
      </c>
      <c r="I94" s="239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1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9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1"/>
      <c r="B96" s="262" t="s">
        <v>138</v>
      </c>
      <c r="C96" s="262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3"/>
      <c r="H96" s="6" t="e">
        <f>D97-#REF!</f>
        <v>#REF!</v>
      </c>
      <c r="I96" s="264"/>
      <c r="J96" s="263"/>
      <c r="K96" s="265"/>
    </row>
    <row r="97" spans="1:11" ht="32.25" hidden="1" thickBot="1" x14ac:dyDescent="0.3">
      <c r="A97" s="266"/>
      <c r="B97" s="267" t="s">
        <v>429</v>
      </c>
      <c r="C97" s="267"/>
      <c r="D97" s="71">
        <v>31.51</v>
      </c>
      <c r="E97" s="268"/>
      <c r="F97" s="263"/>
      <c r="G97" s="80"/>
      <c r="H97" s="6" t="e">
        <f>D98-#REF!</f>
        <v>#REF!</v>
      </c>
      <c r="I97" s="269" t="e">
        <f>I95/D97*100</f>
        <v>#REF!</v>
      </c>
      <c r="J97" s="270" t="e">
        <f>J95/I95*100</f>
        <v>#REF!</v>
      </c>
      <c r="K97" s="271" t="e">
        <f>K95/J95*100</f>
        <v>#REF!</v>
      </c>
    </row>
    <row r="98" spans="1:11" ht="16.5" hidden="1" thickBot="1" x14ac:dyDescent="0.3">
      <c r="B98" s="272" t="s">
        <v>139</v>
      </c>
      <c r="C98" s="267"/>
      <c r="D98" s="71"/>
      <c r="E98" s="273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5"/>
      <c r="B1" s="320" t="s">
        <v>430</v>
      </c>
      <c r="C1" s="320"/>
      <c r="D1" s="320"/>
      <c r="E1" s="320"/>
      <c r="F1" s="320"/>
      <c r="G1" s="320"/>
      <c r="H1" s="320"/>
      <c r="I1" s="320"/>
      <c r="Q1" s="182" t="s">
        <v>404</v>
      </c>
    </row>
    <row r="2" spans="1:17" ht="18.75" x14ac:dyDescent="0.3">
      <c r="A2" s="225"/>
      <c r="B2" s="225"/>
      <c r="C2" s="225"/>
      <c r="D2" s="225"/>
      <c r="E2" s="228"/>
      <c r="F2" s="225"/>
    </row>
    <row r="3" spans="1:17" ht="18.75" x14ac:dyDescent="0.3">
      <c r="A3" s="336" t="s">
        <v>255</v>
      </c>
      <c r="B3" s="336"/>
      <c r="C3" s="336"/>
      <c r="D3" s="336"/>
      <c r="E3" s="336"/>
      <c r="F3" s="336"/>
      <c r="G3" s="336"/>
      <c r="H3" s="336"/>
      <c r="I3" s="336"/>
    </row>
    <row r="4" spans="1:17" ht="18.75" x14ac:dyDescent="0.3">
      <c r="A4" s="336" t="s">
        <v>417</v>
      </c>
      <c r="B4" s="336"/>
      <c r="C4" s="336"/>
      <c r="D4" s="336"/>
      <c r="E4" s="336"/>
      <c r="F4" s="336"/>
      <c r="G4" s="336"/>
      <c r="H4" s="336"/>
      <c r="I4" s="336"/>
    </row>
    <row r="5" spans="1:17" ht="18.75" x14ac:dyDescent="0.3">
      <c r="A5" s="336" t="s">
        <v>418</v>
      </c>
      <c r="B5" s="336"/>
      <c r="C5" s="336"/>
      <c r="D5" s="336"/>
      <c r="E5" s="336"/>
      <c r="F5" s="336"/>
      <c r="G5" s="336"/>
      <c r="H5" s="336"/>
      <c r="I5" s="336"/>
    </row>
    <row r="6" spans="1:17" ht="15.75" x14ac:dyDescent="0.25">
      <c r="A6" s="275"/>
      <c r="B6" s="275"/>
      <c r="C6" s="275"/>
      <c r="D6" s="275"/>
      <c r="E6" s="276"/>
      <c r="F6" s="275"/>
      <c r="G6" s="275"/>
      <c r="H6" s="275"/>
      <c r="I6" s="229" t="s">
        <v>219</v>
      </c>
    </row>
    <row r="7" spans="1:17" ht="21" customHeight="1" x14ac:dyDescent="0.25">
      <c r="A7" s="343"/>
      <c r="B7" s="343" t="s">
        <v>1</v>
      </c>
      <c r="C7" s="343" t="s">
        <v>256</v>
      </c>
      <c r="D7" s="343" t="s">
        <v>431</v>
      </c>
      <c r="E7" s="343" t="s">
        <v>432</v>
      </c>
      <c r="F7" s="343"/>
      <c r="G7" s="343" t="s">
        <v>433</v>
      </c>
      <c r="H7" s="343"/>
      <c r="I7" s="343"/>
    </row>
    <row r="8" spans="1:17" ht="84.6" customHeight="1" x14ac:dyDescent="0.25">
      <c r="A8" s="343"/>
      <c r="B8" s="343"/>
      <c r="C8" s="343"/>
      <c r="D8" s="343"/>
      <c r="E8" s="243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3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3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4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5">
        <v>1177</v>
      </c>
      <c r="D14" s="6">
        <v>2289.54</v>
      </c>
      <c r="E14" s="243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7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7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427</v>
      </c>
      <c r="C17" s="6">
        <v>0</v>
      </c>
      <c r="D17" s="71">
        <v>0</v>
      </c>
      <c r="E17" s="243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7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8"/>
      <c r="E19" s="277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7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7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3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7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7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7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3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3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3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3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3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3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4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4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4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4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3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7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4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4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9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4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4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4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4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4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4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4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4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4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4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4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4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9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4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4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4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4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4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4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0" t="s">
        <v>230</v>
      </c>
      <c r="C81" s="71">
        <v>0</v>
      </c>
      <c r="D81" s="6"/>
      <c r="E81" s="244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0" t="s">
        <v>124</v>
      </c>
      <c r="C82" s="71">
        <v>0</v>
      </c>
      <c r="D82" s="6"/>
      <c r="E82" s="244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1" t="s">
        <v>126</v>
      </c>
      <c r="C83" s="71">
        <v>98.7</v>
      </c>
      <c r="D83" s="6">
        <f>G83+H83+I83</f>
        <v>131.65</v>
      </c>
      <c r="E83" s="244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1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1" t="s">
        <v>132</v>
      </c>
      <c r="C89" s="6">
        <v>94.83</v>
      </c>
      <c r="D89" s="6">
        <v>12.86</v>
      </c>
      <c r="E89" s="244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1" t="s">
        <v>133</v>
      </c>
      <c r="C90" s="6">
        <v>0</v>
      </c>
      <c r="D90" s="6">
        <v>0</v>
      </c>
      <c r="E90" s="244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1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6" t="s">
        <v>232</v>
      </c>
      <c r="B92" s="281" t="s">
        <v>233</v>
      </c>
      <c r="C92" s="71">
        <v>18.97</v>
      </c>
      <c r="D92" s="71">
        <v>3.08</v>
      </c>
      <c r="E92" s="243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434</v>
      </c>
      <c r="C94" s="71">
        <v>469.5</v>
      </c>
      <c r="D94" s="71">
        <v>499.4</v>
      </c>
      <c r="E94" s="243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429</v>
      </c>
      <c r="C97" s="71">
        <v>31.51</v>
      </c>
      <c r="D97" s="6"/>
      <c r="E97" s="243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3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2013-11-07T09:11:39Z</cp:lastPrinted>
  <dcterms:created xsi:type="dcterms:W3CDTF">2013-07-04T03:05:04Z</dcterms:created>
  <dcterms:modified xsi:type="dcterms:W3CDTF">2013-11-10T06:50:43Z</dcterms:modified>
</cp:coreProperties>
</file>